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chart10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20" yWindow="-20" windowWidth="9570" windowHeight="9500" tabRatio="678" activeTab="13"/>
  </bookViews>
  <sheets>
    <sheet name="Sécurité" sheetId="1" r:id="rId1"/>
    <sheet name="Sommaire" sheetId="2" r:id="rId2"/>
    <sheet name="EH" sheetId="4" r:id="rId3"/>
    <sheet name="AS" sheetId="5" r:id="rId4"/>
    <sheet name="AR" sheetId="13" r:id="rId5"/>
    <sheet name="LL" sheetId="6" r:id="rId6"/>
    <sheet name="VA" sheetId="14" r:id="rId7"/>
    <sheet name="VU" sheetId="15" r:id="rId8"/>
    <sheet name="NN" sheetId="7" r:id="rId9"/>
    <sheet name="RU" sheetId="8" r:id="rId10"/>
    <sheet name="ZG" sheetId="9" r:id="rId11"/>
    <sheet name="AM" sheetId="10" r:id="rId12"/>
    <sheet name="EP" sheetId="16" r:id="rId13"/>
    <sheet name="KM" sheetId="17" r:id="rId14"/>
    <sheet name="Historiqu" sheetId="11" r:id="rId15"/>
  </sheets>
  <definedNames>
    <definedName name="_xlnm.Print_Area" localSheetId="11">AM!$A$1:$N$32</definedName>
    <definedName name="_xlnm.Print_Area" localSheetId="4">AR!$A$1:$N$33</definedName>
    <definedName name="_xlnm.Print_Area" localSheetId="3">AS!$A$1:$N$39</definedName>
    <definedName name="_xlnm.Print_Area" localSheetId="2">EH!$A$1:$N$33</definedName>
    <definedName name="_xlnm.Print_Area" localSheetId="12">EP!$A$1:$N$34</definedName>
    <definedName name="_xlnm.Print_Area" localSheetId="14">Historiqu!$A$1:$A$95</definedName>
    <definedName name="_xlnm.Print_Area" localSheetId="13">KM!$A$1:$N$34</definedName>
    <definedName name="_xlnm.Print_Area" localSheetId="5">LL!$A$1:$N$41</definedName>
    <definedName name="_xlnm.Print_Area" localSheetId="8">NN!$A$1:$N$31</definedName>
    <definedName name="_xlnm.Print_Area" localSheetId="9">RU!$A$1:$N$33</definedName>
    <definedName name="_xlnm.Print_Area" localSheetId="1">Sommaire!$A$1:$F$22</definedName>
    <definedName name="_xlnm.Print_Area" localSheetId="6">VA!$A$1:$N$41</definedName>
    <definedName name="_xlnm.Print_Area" localSheetId="7">VU!$A$1:$N$41</definedName>
    <definedName name="_xlnm.Print_Area" localSheetId="10">ZG!$A$1:$N$33</definedName>
  </definedNames>
  <calcPr calcId="125725"/>
</workbook>
</file>

<file path=xl/calcChain.xml><?xml version="1.0" encoding="utf-8"?>
<calcChain xmlns="http://schemas.openxmlformats.org/spreadsheetml/2006/main">
  <c r="E6" i="17"/>
  <c r="W33"/>
  <c r="U33"/>
  <c r="U32"/>
  <c r="W31"/>
  <c r="U31"/>
  <c r="W30"/>
  <c r="U30"/>
  <c r="W29"/>
  <c r="U29"/>
  <c r="W28"/>
  <c r="U28"/>
  <c r="W27"/>
  <c r="U27"/>
  <c r="W26"/>
  <c r="U26"/>
  <c r="J26"/>
  <c r="J27" s="1"/>
  <c r="W25"/>
  <c r="T25"/>
  <c r="S25"/>
  <c r="C24"/>
  <c r="E24" s="1"/>
  <c r="D15"/>
  <c r="B15"/>
  <c r="C15" s="1"/>
  <c r="E15" s="1"/>
  <c r="D12"/>
  <c r="C11"/>
  <c r="C13" s="1"/>
  <c r="E10"/>
  <c r="E9"/>
  <c r="E8"/>
  <c r="E7"/>
  <c r="W26" i="16"/>
  <c r="W27"/>
  <c r="W28"/>
  <c r="W29"/>
  <c r="W30"/>
  <c r="W31"/>
  <c r="W33"/>
  <c r="U27"/>
  <c r="U32"/>
  <c r="U31"/>
  <c r="U28"/>
  <c r="U29"/>
  <c r="U30"/>
  <c r="U33"/>
  <c r="U26"/>
  <c r="B15"/>
  <c r="C15" s="1"/>
  <c r="D6"/>
  <c r="J26" s="1"/>
  <c r="J27" s="1"/>
  <c r="C24"/>
  <c r="E24" s="1"/>
  <c r="T25"/>
  <c r="D15"/>
  <c r="D12"/>
  <c r="C11"/>
  <c r="C13" s="1"/>
  <c r="T34" s="1"/>
  <c r="E10"/>
  <c r="E9"/>
  <c r="E8"/>
  <c r="E7"/>
  <c r="C12" i="4"/>
  <c r="E6"/>
  <c r="C27" i="15"/>
  <c r="D14" s="1"/>
  <c r="C26"/>
  <c r="E6"/>
  <c r="B19"/>
  <c r="B18"/>
  <c r="C12"/>
  <c r="E12" s="1"/>
  <c r="T37"/>
  <c r="T38" s="1"/>
  <c r="T33"/>
  <c r="T29"/>
  <c r="S29"/>
  <c r="D19"/>
  <c r="D18"/>
  <c r="C13"/>
  <c r="E13" s="1"/>
  <c r="E11"/>
  <c r="E10"/>
  <c r="E9"/>
  <c r="E8"/>
  <c r="E7"/>
  <c r="T37" i="14"/>
  <c r="T38"/>
  <c r="T33"/>
  <c r="T29"/>
  <c r="S29"/>
  <c r="C27"/>
  <c r="D17" s="1"/>
  <c r="D14"/>
  <c r="D19"/>
  <c r="B19"/>
  <c r="C19" s="1"/>
  <c r="E19" s="1"/>
  <c r="D18"/>
  <c r="B18"/>
  <c r="C18" s="1"/>
  <c r="E13"/>
  <c r="C13"/>
  <c r="C12"/>
  <c r="E12" s="1"/>
  <c r="E11"/>
  <c r="E10"/>
  <c r="E9"/>
  <c r="E8"/>
  <c r="E7"/>
  <c r="T29" i="13"/>
  <c r="T30" s="1"/>
  <c r="T26"/>
  <c r="S26"/>
  <c r="C25"/>
  <c r="E25" s="1"/>
  <c r="D16"/>
  <c r="B16"/>
  <c r="C16" s="1"/>
  <c r="E16" s="1"/>
  <c r="D13"/>
  <c r="C12"/>
  <c r="E12"/>
  <c r="E11"/>
  <c r="E10"/>
  <c r="E9"/>
  <c r="E8"/>
  <c r="E7"/>
  <c r="D6" i="10"/>
  <c r="S25" s="1"/>
  <c r="E7" i="4"/>
  <c r="E8"/>
  <c r="E9"/>
  <c r="E10"/>
  <c r="E11"/>
  <c r="E12"/>
  <c r="D13"/>
  <c r="B16"/>
  <c r="C16" s="1"/>
  <c r="D16"/>
  <c r="C25"/>
  <c r="E25" s="1"/>
  <c r="S26"/>
  <c r="T26"/>
  <c r="T29"/>
  <c r="T30" s="1"/>
  <c r="E7" i="5"/>
  <c r="E8"/>
  <c r="E9"/>
  <c r="E10"/>
  <c r="E11"/>
  <c r="E12"/>
  <c r="C13"/>
  <c r="C15" s="1"/>
  <c r="B14"/>
  <c r="B17"/>
  <c r="C17" s="1"/>
  <c r="D17"/>
  <c r="C26"/>
  <c r="D14" s="1"/>
  <c r="S27"/>
  <c r="T27"/>
  <c r="T31"/>
  <c r="T36"/>
  <c r="E7" i="6"/>
  <c r="E8"/>
  <c r="E9"/>
  <c r="E10"/>
  <c r="E11"/>
  <c r="C12"/>
  <c r="C15" s="1"/>
  <c r="C13"/>
  <c r="E13" s="1"/>
  <c r="B18"/>
  <c r="C18"/>
  <c r="D18"/>
  <c r="B19"/>
  <c r="C19" s="1"/>
  <c r="D19"/>
  <c r="C27"/>
  <c r="D17" s="1"/>
  <c r="S29"/>
  <c r="T29"/>
  <c r="T33"/>
  <c r="T37"/>
  <c r="T38" s="1"/>
  <c r="E7" i="7"/>
  <c r="E8"/>
  <c r="E9"/>
  <c r="C10"/>
  <c r="C12" s="1"/>
  <c r="D11"/>
  <c r="B14"/>
  <c r="C14"/>
  <c r="E14"/>
  <c r="D14"/>
  <c r="C23"/>
  <c r="D15" s="1"/>
  <c r="S24"/>
  <c r="T24"/>
  <c r="T27"/>
  <c r="T28" s="1"/>
  <c r="E7" i="8"/>
  <c r="E8"/>
  <c r="E9"/>
  <c r="E10"/>
  <c r="E11"/>
  <c r="C12"/>
  <c r="E12" s="1"/>
  <c r="D13"/>
  <c r="B16"/>
  <c r="C16" s="1"/>
  <c r="E16" s="1"/>
  <c r="D16"/>
  <c r="C25"/>
  <c r="D17" s="1"/>
  <c r="S26"/>
  <c r="T26"/>
  <c r="T29"/>
  <c r="T30" s="1"/>
  <c r="E7" i="9"/>
  <c r="E8"/>
  <c r="E9"/>
  <c r="E10"/>
  <c r="E11"/>
  <c r="C12"/>
  <c r="C14" s="1"/>
  <c r="D13"/>
  <c r="B16"/>
  <c r="C16"/>
  <c r="D16"/>
  <c r="C25"/>
  <c r="E25" s="1"/>
  <c r="S26"/>
  <c r="T26"/>
  <c r="T29"/>
  <c r="T30" s="1"/>
  <c r="E7" i="10"/>
  <c r="E8"/>
  <c r="E9"/>
  <c r="E10"/>
  <c r="C11"/>
  <c r="E11" s="1"/>
  <c r="D12"/>
  <c r="B15"/>
  <c r="C15" s="1"/>
  <c r="E15" s="1"/>
  <c r="D15"/>
  <c r="C24"/>
  <c r="E24" s="1"/>
  <c r="T25"/>
  <c r="T28"/>
  <c r="T29" s="1"/>
  <c r="E12" i="6"/>
  <c r="E23" i="7"/>
  <c r="C13" i="10"/>
  <c r="D14" s="1"/>
  <c r="C14" i="13"/>
  <c r="D15" s="1"/>
  <c r="E27" i="6"/>
  <c r="C15" i="14"/>
  <c r="T40" s="1"/>
  <c r="U25" i="17" l="1"/>
  <c r="D14"/>
  <c r="C17"/>
  <c r="T35" s="1"/>
  <c r="T34"/>
  <c r="E13"/>
  <c r="E11"/>
  <c r="D16"/>
  <c r="D16" i="6"/>
  <c r="T40"/>
  <c r="E19"/>
  <c r="E16" i="9"/>
  <c r="E14" i="13"/>
  <c r="T32"/>
  <c r="E10" i="7"/>
  <c r="E12" s="1"/>
  <c r="E14" i="8"/>
  <c r="E18" s="1"/>
  <c r="E17" i="5"/>
  <c r="C21" i="6"/>
  <c r="E15"/>
  <c r="J26" i="10"/>
  <c r="J27" s="1"/>
  <c r="E16" i="4"/>
  <c r="E15" i="14"/>
  <c r="D15" i="6"/>
  <c r="S40"/>
  <c r="S40" i="14"/>
  <c r="D15"/>
  <c r="E21"/>
  <c r="C21"/>
  <c r="E18"/>
  <c r="C18" i="13"/>
  <c r="T33" s="1"/>
  <c r="S32"/>
  <c r="E18"/>
  <c r="D14"/>
  <c r="E15" i="5"/>
  <c r="D15" i="9"/>
  <c r="T32"/>
  <c r="C18"/>
  <c r="T33" s="1"/>
  <c r="T41" i="6"/>
  <c r="C20"/>
  <c r="D13" i="7"/>
  <c r="T30"/>
  <c r="C16"/>
  <c r="T31" s="1"/>
  <c r="T38" i="5"/>
  <c r="C19"/>
  <c r="T39" s="1"/>
  <c r="D16"/>
  <c r="D14" i="6"/>
  <c r="E26" i="5"/>
  <c r="E13"/>
  <c r="E14" i="4"/>
  <c r="E18" s="1"/>
  <c r="E27" i="14"/>
  <c r="E13" i="10"/>
  <c r="E17" s="1"/>
  <c r="D16" i="14"/>
  <c r="E12" i="9"/>
  <c r="E14" s="1"/>
  <c r="E18" i="6"/>
  <c r="E21" s="1"/>
  <c r="D17" i="13"/>
  <c r="D17" i="9"/>
  <c r="D16" i="10"/>
  <c r="D18" i="5"/>
  <c r="C14" i="8"/>
  <c r="E25"/>
  <c r="C17" i="10"/>
  <c r="T33" s="1"/>
  <c r="T32"/>
  <c r="E15" i="16"/>
  <c r="E11"/>
  <c r="E13" s="1"/>
  <c r="D16"/>
  <c r="C17"/>
  <c r="T35" s="1"/>
  <c r="D14"/>
  <c r="S25"/>
  <c r="C14" i="4"/>
  <c r="D17"/>
  <c r="C18" i="15"/>
  <c r="E18" s="1"/>
  <c r="C19"/>
  <c r="E19" s="1"/>
  <c r="D17"/>
  <c r="E15"/>
  <c r="C15"/>
  <c r="D16" s="1"/>
  <c r="S34" i="17" l="1"/>
  <c r="E17"/>
  <c r="D13"/>
  <c r="J21" s="1"/>
  <c r="J22" s="1"/>
  <c r="E16" i="7"/>
  <c r="D16" s="1"/>
  <c r="D12"/>
  <c r="S30"/>
  <c r="S32" i="8"/>
  <c r="D13" i="10"/>
  <c r="J21" s="1"/>
  <c r="J22" s="1"/>
  <c r="S32"/>
  <c r="W25" i="16"/>
  <c r="U25"/>
  <c r="S32" i="9"/>
  <c r="D14"/>
  <c r="E18"/>
  <c r="S41" i="6"/>
  <c r="D21"/>
  <c r="T41" i="14"/>
  <c r="C20"/>
  <c r="D18" i="13"/>
  <c r="S33"/>
  <c r="D21" i="14"/>
  <c r="S41"/>
  <c r="E19" i="5"/>
  <c r="S38"/>
  <c r="D15"/>
  <c r="D18" i="8"/>
  <c r="S33"/>
  <c r="D15"/>
  <c r="C18"/>
  <c r="T33" s="1"/>
  <c r="T32"/>
  <c r="D14"/>
  <c r="D17" i="10"/>
  <c r="J23" s="1"/>
  <c r="J24" s="1"/>
  <c r="S33"/>
  <c r="S34" i="16"/>
  <c r="E17"/>
  <c r="S35" s="1"/>
  <c r="D13"/>
  <c r="J21" s="1"/>
  <c r="J22" s="1"/>
  <c r="C18" i="4"/>
  <c r="T32"/>
  <c r="D15"/>
  <c r="S32"/>
  <c r="D14"/>
  <c r="E21" i="15"/>
  <c r="E27"/>
  <c r="C21"/>
  <c r="T41" s="1"/>
  <c r="S40"/>
  <c r="D15"/>
  <c r="T40"/>
  <c r="U34" i="17" l="1"/>
  <c r="W34"/>
  <c r="D17"/>
  <c r="J23" s="1"/>
  <c r="J24" s="1"/>
  <c r="S35"/>
  <c r="U35" i="16"/>
  <c r="W35"/>
  <c r="S31" i="7"/>
  <c r="U34" i="16"/>
  <c r="W34"/>
  <c r="D18" i="9"/>
  <c r="S33"/>
  <c r="D19" i="5"/>
  <c r="S39"/>
  <c r="D17" i="16"/>
  <c r="J23" s="1"/>
  <c r="J24" s="1"/>
  <c r="D18" i="4"/>
  <c r="T33"/>
  <c r="S33"/>
  <c r="C20" i="15"/>
  <c r="D21"/>
  <c r="S41"/>
  <c r="U35" i="17" l="1"/>
  <c r="W35"/>
</calcChain>
</file>

<file path=xl/sharedStrings.xml><?xml version="1.0" encoding="utf-8"?>
<sst xmlns="http://schemas.openxmlformats.org/spreadsheetml/2006/main" count="802" uniqueCount="261">
  <si>
    <t>Litres</t>
  </si>
  <si>
    <t>Masse (kg)</t>
  </si>
  <si>
    <t>Bras de levier (m)</t>
  </si>
  <si>
    <t>Moment (mkg)</t>
  </si>
  <si>
    <t>CdB</t>
  </si>
  <si>
    <t>Copilote</t>
  </si>
  <si>
    <t>Passager 1</t>
  </si>
  <si>
    <t>Passager 2</t>
  </si>
  <si>
    <t>Délestage</t>
  </si>
  <si>
    <t>Bras de levier</t>
  </si>
  <si>
    <t xml:space="preserve">Masse </t>
  </si>
  <si>
    <t>Graphe</t>
  </si>
  <si>
    <t>Calcul</t>
  </si>
  <si>
    <t>NOTES CARBURANT</t>
  </si>
  <si>
    <t>Carburant</t>
  </si>
  <si>
    <t>Autonomie</t>
  </si>
  <si>
    <t>durée trajet</t>
  </si>
  <si>
    <t xml:space="preserve"> heures</t>
  </si>
  <si>
    <t>avion vide</t>
  </si>
  <si>
    <t>limites de centrage</t>
  </si>
  <si>
    <t>Centre de Gravité</t>
  </si>
  <si>
    <t>en avant masse maxi</t>
  </si>
  <si>
    <t>chargement exact du vol</t>
  </si>
  <si>
    <t>en avant
&lt; 885 kg</t>
  </si>
  <si>
    <t>en arrière qq soit le poids</t>
  </si>
  <si>
    <t>Centrage PA28-161 F-GIEH</t>
  </si>
  <si>
    <t xml:space="preserve">  Donné à titre indicatif. SE CONFORMER UNIQUEMENT À LA FICHE DE PESÉE SE TROUVANT DANS LE CARNET DE ROUTE </t>
  </si>
  <si>
    <t>plein complet max utilisable :</t>
  </si>
  <si>
    <t>Embarqué utilisable :</t>
  </si>
  <si>
    <r>
      <t xml:space="preserve">Ne modifier que les chiffres sur </t>
    </r>
    <r>
      <rPr>
        <sz val="9"/>
        <color indexed="15"/>
        <rFont val="Geneva"/>
      </rPr>
      <t xml:space="preserve"> </t>
    </r>
    <r>
      <rPr>
        <b/>
        <sz val="9"/>
        <color indexed="15"/>
        <rFont val="Geneva"/>
      </rPr>
      <t>fond  bleu</t>
    </r>
  </si>
  <si>
    <t>Avion</t>
  </si>
  <si>
    <t>Immat.</t>
  </si>
  <si>
    <t>Fiche de pesée</t>
  </si>
  <si>
    <t>Date mise à jour</t>
  </si>
  <si>
    <t>Création</t>
  </si>
  <si>
    <t>Contrôle</t>
  </si>
  <si>
    <t>F-GIEH</t>
  </si>
  <si>
    <t>Patrick RIGHEZZA</t>
  </si>
  <si>
    <t>PA28-161 THIELERT</t>
  </si>
  <si>
    <t>F-HCAS</t>
  </si>
  <si>
    <t>F-BXNN</t>
  </si>
  <si>
    <t>C150</t>
  </si>
  <si>
    <t>Création version 0.1 du 25/02/2007.</t>
  </si>
  <si>
    <t>patrick.righezza@free.fr</t>
  </si>
  <si>
    <t>Merci de signaler toutes anomalies de fonctionnement ou de données à</t>
  </si>
  <si>
    <t>LE PILOTE DOIT SE CONFORMER UNIQUEMENT À LA FICHE DE PESÉE SE TROUVANT DANS LE CARNET DE ROUTE.</t>
  </si>
  <si>
    <t>Il est rappelé aux pilotes que cet outil est fourni à titre indicatif.</t>
  </si>
  <si>
    <t>Conso (75% de puisance)</t>
  </si>
  <si>
    <t>Conso (75% de puissance)</t>
  </si>
  <si>
    <t>Centrage C150 F-BXNN</t>
  </si>
  <si>
    <t>en avant
&lt; 580 kg</t>
  </si>
  <si>
    <t>100LL (0,72) 132 l maxi uti.</t>
  </si>
  <si>
    <r>
      <t>Bagages</t>
    </r>
    <r>
      <rPr>
        <b/>
        <sz val="12"/>
        <rFont val="Times New Roman"/>
        <family val="1"/>
      </rPr>
      <t xml:space="preserve"> (maxi 54 kg)</t>
    </r>
  </si>
  <si>
    <r>
      <t>Bagages</t>
    </r>
    <r>
      <rPr>
        <b/>
        <sz val="12"/>
        <rFont val="Times New Roman"/>
        <family val="1"/>
      </rPr>
      <t xml:space="preserve"> (maxi 40 kg)</t>
    </r>
  </si>
  <si>
    <t>100LL (0,72) 109 l maxi uti.</t>
  </si>
  <si>
    <t>Centrage DR400-120  F-GSRU</t>
  </si>
  <si>
    <t>DR400-120</t>
  </si>
  <si>
    <t>F-GSRU</t>
  </si>
  <si>
    <t>Centrage DR400-120  F-GJZG</t>
  </si>
  <si>
    <t>F-GJZG</t>
  </si>
  <si>
    <t>Ajout de contrôle de cohérence sur le volume de carburant maximum embarqué (cellule C45), l'autonomie maximum (cellule E45) et le délestage maximum (cellule D18).</t>
  </si>
  <si>
    <t>Historique de l'Outil d'Aide à la Détermination des Masses et Centrages</t>
  </si>
  <si>
    <t>Aide à la Détermination des Masses et Centrages</t>
  </si>
  <si>
    <t>Ajout de la page de garde "Sécurité"</t>
  </si>
  <si>
    <r>
      <t>Bagages zone 1</t>
    </r>
    <r>
      <rPr>
        <b/>
        <sz val="12"/>
        <rFont val="Times New Roman"/>
        <family val="1"/>
      </rPr>
      <t xml:space="preserve"> (maxi 54 kg)</t>
    </r>
  </si>
  <si>
    <r>
      <t>Bagages zone 2</t>
    </r>
    <r>
      <rPr>
        <b/>
        <sz val="12"/>
        <rFont val="Times New Roman"/>
        <family val="1"/>
      </rPr>
      <t xml:space="preserve"> (maxi 23 kg)</t>
    </r>
  </si>
  <si>
    <t>100LL (0,72) 240 l maxi uti.</t>
  </si>
  <si>
    <t>C172 R</t>
  </si>
  <si>
    <t>Ajout du Cessna 172 Skyhwak</t>
  </si>
  <si>
    <t>Création version 0.2 du 18/03/2007.</t>
  </si>
  <si>
    <t>Fiche de pesée VP du 24/06/2002 DUPIN remplacée par 31/07/2006 SERAL</t>
  </si>
  <si>
    <t>Fiche de pesée ZG du 15/03/2005 ATELIER REGIONAL VINON remplacée par 20/02/2006 SERAL</t>
  </si>
  <si>
    <t>Création version 0.3 du 24/04/2007.</t>
  </si>
  <si>
    <t>Ajout de la protection en écriture du fichier</t>
  </si>
  <si>
    <t>Correction de la date de la fiche de pesée du RU dans le sommaire. Correction d'une erreur systématique du bras de levier de l'essence dans la partie consommation (cellule D18=+D14)</t>
  </si>
  <si>
    <t>Mise en ligne sur le PC du Club en mai 2007</t>
  </si>
  <si>
    <t>Fiche de pesée RU du 19/03/2004 SERAL remplacée par 29/09/2006 ATELIER REGIONAL VINON</t>
  </si>
  <si>
    <t>Création version 0.4 du 03/06/2007</t>
  </si>
  <si>
    <t>Changement du format écran et papier</t>
  </si>
  <si>
    <t>Fiche de pesée EH du 26/01/2007 FRANCE AVIATION remplacée par 28/08/2007 AVIGNON</t>
  </si>
  <si>
    <t>supression de fiche VP</t>
  </si>
  <si>
    <t>Création version 0.5 du 19/09/2007</t>
  </si>
  <si>
    <t>Utilitaire</t>
  </si>
  <si>
    <t>Normale</t>
  </si>
  <si>
    <t>Création version 0.6 du 07/11/2007</t>
  </si>
  <si>
    <t>en avant
&lt; 750 kg</t>
  </si>
  <si>
    <t>Ajout du DR 400-180 Régent F-GJZK</t>
  </si>
  <si>
    <t>DR400-180</t>
  </si>
  <si>
    <t>Ajout des onglets contenants les scanners des fiches de pesées</t>
  </si>
  <si>
    <t>Ajout de la macro1 d'optimisation de l'affichage sur écran</t>
  </si>
  <si>
    <r>
      <t>Bagages</t>
    </r>
    <r>
      <rPr>
        <b/>
        <sz val="12"/>
        <rFont val="Times New Roman"/>
        <family val="1"/>
      </rPr>
      <t xml:space="preserve"> (maxi 60 kg)</t>
    </r>
  </si>
  <si>
    <t>Centrage C172R SKYHWAK  F-HCAS</t>
  </si>
  <si>
    <t>Fiche de pesée AS du 02/03/2007 AEROMECANIC remplacée par 21/01/2008 SERAL</t>
  </si>
  <si>
    <t>Création version 0.7 du 10/02/2008</t>
  </si>
  <si>
    <t>Ajout de changement de couleur des cellules de contrôle de cohérence sur anomalie</t>
  </si>
  <si>
    <t>Création version 0.7a du 13/02/2008</t>
  </si>
  <si>
    <t>Ajout du PA28-161 F-GJLR</t>
  </si>
  <si>
    <t>Création version 0.7b du 30/05/2008</t>
  </si>
  <si>
    <t>Centrage DR400-180 Régent F-GULL</t>
  </si>
  <si>
    <t>supression de fiche ZK</t>
  </si>
  <si>
    <t>Ajout du DR 400-180 Régent F-GULL</t>
  </si>
  <si>
    <t>Création version 0.8 du 20/12/2008</t>
  </si>
  <si>
    <t>F-GULL</t>
  </si>
  <si>
    <t>supression de fiche LR</t>
  </si>
  <si>
    <t>Modification de la macro1 pour démarrage sur l'onglet Sécurité</t>
  </si>
  <si>
    <t>Séparation de l'aide en deux fichiers :
- masse et centrage flotte ACAM ver XY.xls
- rapports de pesée flotte ACAM verXY.xls</t>
  </si>
  <si>
    <t>Création version 0.9 du 12/09/2009</t>
  </si>
  <si>
    <t>Délestage central en premier</t>
  </si>
  <si>
    <t>Création d'un bouton d'inversion de l'ordre de délestage des réservoirs sur le DR 400-180 Régent F-GULL</t>
  </si>
  <si>
    <t>Création version 10 du 31/01/2010</t>
  </si>
  <si>
    <t>Correction du volume du réservoir de AS</t>
  </si>
  <si>
    <t>Fiche de pesée BD du 10/11/2004 SERALremplacée par 10/11/2009 ATA</t>
  </si>
  <si>
    <t>Création version 11 du 13/06/2010</t>
  </si>
  <si>
    <t>Fiche de pesée ZG du 20/02/2006 SERAL remplacée par 03/03/2011 ATA</t>
  </si>
  <si>
    <t>Création version 12 du 12/03/2011</t>
  </si>
  <si>
    <t>Fiche de pesée NN du 27/02/2006 SERAL remplacée par 06/05/2011 ATA</t>
  </si>
  <si>
    <t>Création version 13 du 19/06/2011</t>
  </si>
  <si>
    <t>Fiche de pesée EH du 28/08/2007 AVIGNON remplacée par 28/11/2011 ATA</t>
  </si>
  <si>
    <t>Patrick ELKAN</t>
  </si>
  <si>
    <t>Avion vide avec huile+carburant inutilisa.</t>
  </si>
  <si>
    <t>Avion vide avechuile+carburant inutilisa.</t>
  </si>
  <si>
    <t>100LL (0.72) ailes 2x40 l maxi uti.</t>
  </si>
  <si>
    <t>100LL (0.72) central 100 l maxi uti.</t>
  </si>
  <si>
    <t>100LL (0,72) 100 l maxi uti.</t>
  </si>
  <si>
    <t>Diverses modifications :masses affichées au 1/10, suppression Cat. utilitaire, délestage avec signe négatif,</t>
  </si>
  <si>
    <t>Total décollage</t>
  </si>
  <si>
    <t>Total atterrissage</t>
  </si>
  <si>
    <t xml:space="preserve">Masse maxi décollage CAT NORMALE :  </t>
  </si>
  <si>
    <t>Équivalant en Gallons</t>
  </si>
  <si>
    <t>Déplacement des données destinées au tracé des courbes,</t>
  </si>
  <si>
    <t xml:space="preserve"> Termes départ / arrivée remplacés par décollage / atterrissage, correction du volume d'essence utilisable sur ZG</t>
  </si>
  <si>
    <t>Création version 14b du 29/01/2012</t>
  </si>
  <si>
    <r>
      <t>CONSEIL :</t>
    </r>
    <r>
      <rPr>
        <sz val="10"/>
        <color indexed="10"/>
        <rFont val="Arial"/>
        <family val="2"/>
      </rPr>
      <t xml:space="preserve"> Utiliser de préférence le réservoir central pour un vol d'une durée inférieure à 2h. Pour un vol</t>
    </r>
  </si>
  <si>
    <t>d'une durée supérieure à 2h commencer à utiliser les réservoirs d'ailes puis finir par le réservoir central.</t>
  </si>
  <si>
    <t>(consulter le manuel sur les conditions d'utilisation des réservoirs d'ailes)</t>
  </si>
  <si>
    <t>Fiche de pesée QF du 10/04/2007 SERVICE ROUSSILLON PERPIGNAN remplacée par 23/05/2012 ATA</t>
  </si>
  <si>
    <t>Création version 15 du 02/06/2012</t>
  </si>
  <si>
    <t>Fiche de pesée EH du 28/08/2007 AVIGNON remplacée par 21/08/2009 AVIGNON</t>
  </si>
  <si>
    <t>Création version 16 du 23/04/2013</t>
  </si>
  <si>
    <t>Fiche de pesée AS du 21/01/2008 SERAL remplacée par 01/02/2013 ATELIERS REPARATIONS AERONAUTIQUES</t>
  </si>
  <si>
    <t>Fiche de pesée RU du 29/09/2006 ATELIER REGIONAL VINON remplacée par 19/10/2011 ATA</t>
  </si>
  <si>
    <t>Supression de fiche QF</t>
  </si>
  <si>
    <t>oui</t>
  </si>
  <si>
    <t>non</t>
  </si>
  <si>
    <t>Délestage ailes</t>
  </si>
  <si>
    <t>Délestage central</t>
  </si>
  <si>
    <t>Modification fiche LL pour portabilité sur Smartphone : liste déroulante pour le choix du réservoir délesté en premier</t>
  </si>
  <si>
    <t>(oui ou non)</t>
  </si>
  <si>
    <t>100LL (0,72) 113 l maxi uti.</t>
  </si>
  <si>
    <r>
      <t>Bagages soute</t>
    </r>
    <r>
      <rPr>
        <b/>
        <sz val="12"/>
        <rFont val="Times New Roman"/>
        <family val="1"/>
      </rPr>
      <t xml:space="preserve"> (maxi 18 kg)</t>
    </r>
  </si>
  <si>
    <t>Moment (mmkg)</t>
  </si>
  <si>
    <t>Bras de levier (mm)</t>
  </si>
  <si>
    <r>
      <t>Bagages ailes</t>
    </r>
    <r>
      <rPr>
        <b/>
        <sz val="12"/>
        <rFont val="Times New Roman"/>
        <family val="1"/>
      </rPr>
      <t xml:space="preserve"> (maxi 10 kg)</t>
    </r>
  </si>
  <si>
    <t>Centrage PS28 Cruiser F-HXAM</t>
  </si>
  <si>
    <t>PS28 Cruiser</t>
  </si>
  <si>
    <t>F-HXAM</t>
  </si>
  <si>
    <t>Ajout du PS28 Cruiser F-HXAM</t>
  </si>
  <si>
    <t>Création version 17b du 25/08/2013</t>
  </si>
  <si>
    <t xml:space="preserve">  Donné à titre indicatif. SE CONFORMER UNIQUEMENT À LA FICHE DE PESÉE et à l'abaque SE TROUVANT DANS LE CARNET DE ROUTE </t>
  </si>
  <si>
    <t>Fiche de pesée LL du 04/09/2008 Ateliers Réparations Aéronautiques MONTELIMAR remplacée par 26/09/2013 ATA</t>
  </si>
  <si>
    <t>Création version 18 du 13/10/2013</t>
  </si>
  <si>
    <t>Supression de fiche BD</t>
  </si>
  <si>
    <t>Ajout du PA28-181 F-GNZY Fiche de pesée du 29/06/2011 AIR SERVICES</t>
  </si>
  <si>
    <t>Création version 19 du 30/08/2014</t>
  </si>
  <si>
    <t>Création version 20 du 10/03/2016</t>
  </si>
  <si>
    <t>Fiche de pesée du PA28-181 F-GNZY du 29/06/2011 AIR SERVICE remplacée par  09/02/2016 AIR SERVICE (suppression de la climatisation)</t>
  </si>
  <si>
    <t>(fiche de pesée du 02/06/2016 ATA)</t>
  </si>
  <si>
    <t>Création version 21 du 14/06/2016</t>
  </si>
  <si>
    <t>Fiche de pesée DR400-120 F-GJZG du 03/03/2011 ATA remplacée par 02/06/2016 ATA</t>
  </si>
  <si>
    <t>02/06/2016 ATA</t>
  </si>
  <si>
    <t>(fiche de pesée du 26/04/2016 Aérozing)</t>
  </si>
  <si>
    <t>Fiche de pesée NN du 06/05/2011 ATA remplacée par 26/04/2016 Aérozing</t>
  </si>
  <si>
    <t>26/04/2016 Aérozing</t>
  </si>
  <si>
    <t>05/10/2016 ATA</t>
  </si>
  <si>
    <t>Création version 22 du 27/01/2017</t>
  </si>
  <si>
    <t>Fiche de pesée EH du 28/11/2011 ATA remplacée par 22/12/2016 ATA</t>
  </si>
  <si>
    <t>Fiche de pesée RU du 19/10/2011 ATA remplacée par 05/10/2016 ATA</t>
  </si>
  <si>
    <t>(fiche de pesée du 05/10/2016 ATA)</t>
  </si>
  <si>
    <t>Création version 23 du 31/03/2018</t>
  </si>
  <si>
    <t>Fiche de pesée LL du 26/09/2013 ATA remplacée par 21/03/2018 ATA</t>
  </si>
  <si>
    <t>(fiche de pesée du 11/01/2018 VILLANOVA NICOLAS)</t>
  </si>
  <si>
    <t xml:space="preserve"> 11/01/2018 VILLANOVA NICOLAS</t>
  </si>
  <si>
    <t>Création version 24 du 02/07/2018</t>
  </si>
  <si>
    <t>Fiche de pesée AS du 01/02/2013 ATELIERS REPARATIONS AERONAUTIQUES remplacée par 11/01/2018 VILLANOVA NICOLAS</t>
  </si>
  <si>
    <t>(fiche de pesée du 20/07/2018  Nicolas VERON - Finesse Max)</t>
  </si>
  <si>
    <t>Comparatif avec l'abaque</t>
  </si>
  <si>
    <t>Bras de levier - Total décollage</t>
  </si>
  <si>
    <t>Pour mémoire</t>
  </si>
  <si>
    <t>Bras de levier - avion vide</t>
  </si>
  <si>
    <t>Bras de levier - Après délestage</t>
  </si>
  <si>
    <t>Fiche de pesée AM du 12/06/2013 CZECH SPORT AIRCRAFT remplacée par 20/07/2018  Nicolas VERON - Finesse Max</t>
  </si>
  <si>
    <t>Création version 25 du 23/07/2018</t>
  </si>
  <si>
    <t>20/07/2018  Nicolas VERON
 Finesse Max</t>
  </si>
  <si>
    <t>Soit en pourcentage de la MAC 1500mm</t>
  </si>
  <si>
    <t>(Autorisé 28% à 35% de la MAC)</t>
  </si>
  <si>
    <t>(Autorisé 28,5% à 29,5% de la MAC)</t>
  </si>
  <si>
    <t>Centrage R1180T Aiglon  F-GCAR</t>
  </si>
  <si>
    <t>100LL (0,72) 228 l maxi uti.</t>
  </si>
  <si>
    <t>en avant
&lt; 940 kg</t>
  </si>
  <si>
    <t>R1180T Aiglon</t>
  </si>
  <si>
    <t>F-GCAR</t>
  </si>
  <si>
    <t>Ajout du R1180T Aiglon F-GCAR</t>
  </si>
  <si>
    <t>Fiche de pesée AR du 15/05/2015 AC du Gaillacois</t>
  </si>
  <si>
    <t>Création version 26 du 04/04/2019</t>
  </si>
  <si>
    <t>Supression de fiche ZY</t>
  </si>
  <si>
    <t>Fiche de pesée LL du 21/03/2018 ATA remplacée par 07/11/2019 Atelier Régional Vinon</t>
  </si>
  <si>
    <t>(fiche de pesée du 07/11/2019 Atelier Régional Vinon)</t>
  </si>
  <si>
    <t>Fiche de pesée AR du 15/05/2015 AC du Gaillacois remplacée par 02/07/2020 Air Intervention</t>
  </si>
  <si>
    <t>(fiche de pesée du 02/07/2020 Air Intervention)</t>
  </si>
  <si>
    <t>Centrage DR400-180 Régent F-GLVA</t>
  </si>
  <si>
    <t>(fiche de pesée du 01/09/2018 Nîmes-Courbessac)</t>
  </si>
  <si>
    <t>Fiche de pesée VA du 01/09/2018 Nîmes-Courbessac</t>
  </si>
  <si>
    <t>Création version 20210201</t>
  </si>
  <si>
    <t>F-GLVA</t>
  </si>
  <si>
    <t>01/09/2018 Nîmes-Courbessac</t>
  </si>
  <si>
    <t>02/07/2020 Air Intervention</t>
  </si>
  <si>
    <t>07/11/2019 Atelier Régional Vinon</t>
  </si>
  <si>
    <t>fonctionne avec les applications gratuites WPS Office de KINGSOFT OFFICE SOFTWARE  ou Office de MICROSOFT</t>
  </si>
  <si>
    <t>DR400-140B</t>
  </si>
  <si>
    <t>F-GLVU</t>
  </si>
  <si>
    <t>Centrage DR400-140B F-GLVU</t>
  </si>
  <si>
    <r>
      <t>CONSEIL :</t>
    </r>
    <r>
      <rPr>
        <sz val="10"/>
        <color indexed="10"/>
        <rFont val="Arial"/>
        <family val="2"/>
      </rPr>
      <t xml:space="preserve"> Utiliser dabord une quantité suffusante du réservoir central avant de vidanger le réservoir supplémentaire.</t>
    </r>
  </si>
  <si>
    <t>(consulter le manuel sur les conditions d'utilisation du réservoir supplémentaire, chapitre VII, article 1)</t>
  </si>
  <si>
    <t>Délestage supll.</t>
  </si>
  <si>
    <t>(fiche de pesée du 28/05/2013 Bourgogne Aéro Services Auxerre)</t>
  </si>
  <si>
    <t>28/05/2013 Bourgogne Aéro Services Auxerre</t>
  </si>
  <si>
    <t>Fiche de pesée VU du 28/05/2013 Bourgogne Aéro Services Auxerre</t>
  </si>
  <si>
    <t>Création version 20211229</t>
  </si>
  <si>
    <t>100LL (0.72) suppl. 50 l maxi uti.</t>
  </si>
  <si>
    <t>Création version 20220105</t>
  </si>
  <si>
    <t>F-GLVU : modification Max utilisable du réservoir supplémentaire de 40L à 50L</t>
  </si>
  <si>
    <t>(fiche de pesée du 11/01/2022 ATA)</t>
  </si>
  <si>
    <t>Création version 20220721</t>
  </si>
  <si>
    <t>Fiche de pesée EH du 22/12/2016 ATA remplacée par 11/01/2022 ATA</t>
  </si>
  <si>
    <t>11/01/2022 ATA</t>
  </si>
  <si>
    <t>Jet A1 (0,80) 162 l maxi uti.</t>
  </si>
  <si>
    <t>(fiche de pesée du 02/12/2021 R. SKVAFIL)</t>
  </si>
  <si>
    <t>Centrage EVEKTOR SportStar F-HLEP</t>
  </si>
  <si>
    <t>Ajout du EVEKTOR SportStar F-HLEP</t>
  </si>
  <si>
    <t xml:space="preserve">EVEKTOR SportStar </t>
  </si>
  <si>
    <t>F-HLEP</t>
  </si>
  <si>
    <t>02/12/2021 R. SKVAFIL</t>
  </si>
  <si>
    <r>
      <t xml:space="preserve">Bagages </t>
    </r>
    <r>
      <rPr>
        <b/>
        <sz val="12"/>
        <rFont val="Times New Roman"/>
        <family val="1"/>
      </rPr>
      <t>(maxi 25 kg)</t>
    </r>
  </si>
  <si>
    <t>Soit en pourcentage de la MAC 1250mm</t>
  </si>
  <si>
    <r>
      <t xml:space="preserve">(Autorisé 20% </t>
    </r>
    <r>
      <rPr>
        <sz val="10"/>
        <color rgb="FFFF00FF"/>
        <rFont val="Calibri"/>
        <family val="2"/>
      </rPr>
      <t>±</t>
    </r>
    <r>
      <rPr>
        <sz val="10"/>
        <color rgb="FFFF00FF"/>
        <rFont val="Arial"/>
        <family val="2"/>
      </rPr>
      <t xml:space="preserve"> 2% de la MAC)</t>
    </r>
  </si>
  <si>
    <t>Moment
mKg</t>
  </si>
  <si>
    <t>Point 
abaque</t>
  </si>
  <si>
    <t>Abaque</t>
  </si>
  <si>
    <t xml:space="preserve">Comparatif avec l'abaque : voir liste des points calculés ci-contre </t>
  </si>
  <si>
    <r>
      <t>120LL (0,72)</t>
    </r>
    <r>
      <rPr>
        <b/>
        <sz val="12"/>
        <rFont val="Times New Roman"/>
        <family val="1"/>
      </rPr>
      <t xml:space="preserve"> 118 l maxi uti.</t>
    </r>
  </si>
  <si>
    <t>% MAC</t>
  </si>
  <si>
    <t>Création version 20240116</t>
  </si>
  <si>
    <t>F-HAKM</t>
  </si>
  <si>
    <t>14/11/2023 J. HANACEK</t>
  </si>
  <si>
    <t>Fiche de pesée EP du 02/12/2021 R. SKVAFIL</t>
  </si>
  <si>
    <t>Ajout du EVEKTOR SportStar F-HAKM</t>
  </si>
  <si>
    <t>Fiche de pesée KM du 14/11/2023 J. HANACEK</t>
  </si>
  <si>
    <t>Centrage EVEKTOR SportStar F-HAKM</t>
  </si>
  <si>
    <t>(fiche de pesée du 14/11/2023 J. HANACEK)</t>
  </si>
  <si>
    <t>Correction points 4 et 7 de la courbe enveloppe pour EP</t>
  </si>
  <si>
    <t>Création version 20240202</t>
  </si>
</sst>
</file>

<file path=xl/styles.xml><?xml version="1.0" encoding="utf-8"?>
<styleSheet xmlns="http://schemas.openxmlformats.org/spreadsheetml/2006/main">
  <numFmts count="15">
    <numFmt numFmtId="164" formatCode="_-* #,##0.00\ _F_-;\-* #,##0.00\ _F_-;_-* &quot;-&quot;??\ _F_-;_-@_-"/>
    <numFmt numFmtId="165" formatCode="#,##0.000"/>
    <numFmt numFmtId="166" formatCode="0.000"/>
    <numFmt numFmtId="167" formatCode="h:mm"/>
    <numFmt numFmtId="168" formatCode="0.0"/>
    <numFmt numFmtId="169" formatCode="#,##0_&quot;\K\g"/>
    <numFmt numFmtId="170" formatCode="#,##0_&quot;\l"/>
    <numFmt numFmtId="171" formatCode="#,##0_'&quot;l/h&quot;"/>
    <numFmt numFmtId="172" formatCode="_-* #,##0\ _F_-;\-* #,##0\ _F_-;_-* &quot;-&quot;??\ _F_-;_-@_-"/>
    <numFmt numFmtId="173" formatCode="h:mm\_&quot;hh:mm&quot;"/>
    <numFmt numFmtId="174" formatCode="#,##0.0000"/>
    <numFmt numFmtId="175" formatCode="#,##0.0_&quot;\l"/>
    <numFmt numFmtId="176" formatCode="#,##0.0_&quot;&quot;gal&quot;"/>
    <numFmt numFmtId="177" formatCode="#,##0.0_'&quot;h&quot;"/>
    <numFmt numFmtId="178" formatCode="#,##0.0_'&quot;l/h&quot;"/>
  </numFmts>
  <fonts count="63">
    <font>
      <sz val="10"/>
      <name val="Arial"/>
    </font>
    <font>
      <sz val="10"/>
      <name val="Arial"/>
    </font>
    <font>
      <b/>
      <sz val="20"/>
      <name val="Times New Roman"/>
      <family val="1"/>
    </font>
    <font>
      <b/>
      <sz val="16"/>
      <name val="Times New Roman"/>
      <family val="1"/>
    </font>
    <font>
      <u/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indexed="14"/>
      <name val="Times New Roman"/>
      <family val="1"/>
    </font>
    <font>
      <sz val="12"/>
      <color indexed="10"/>
      <name val="Times New Roman"/>
      <family val="1"/>
    </font>
    <font>
      <sz val="12"/>
      <color indexed="50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Times New Roman"/>
      <family val="1"/>
    </font>
    <font>
      <b/>
      <sz val="10"/>
      <name val="Arial"/>
    </font>
    <font>
      <b/>
      <sz val="20"/>
      <color indexed="10"/>
      <name val="Times New Roman"/>
      <family val="1"/>
    </font>
    <font>
      <sz val="8"/>
      <color indexed="10"/>
      <name val="Geneva"/>
    </font>
    <font>
      <sz val="9"/>
      <color indexed="10"/>
      <name val="Geneva"/>
    </font>
    <font>
      <b/>
      <sz val="10"/>
      <color indexed="10"/>
      <name val="Arial"/>
      <family val="2"/>
    </font>
    <font>
      <sz val="9"/>
      <color indexed="15"/>
      <name val="Geneva"/>
    </font>
    <font>
      <b/>
      <sz val="9"/>
      <color indexed="15"/>
      <name val="Geneva"/>
    </font>
    <font>
      <b/>
      <sz val="16"/>
      <color indexed="10"/>
      <name val="Geneva"/>
    </font>
    <font>
      <sz val="11"/>
      <name val="Arial"/>
    </font>
    <font>
      <b/>
      <sz val="18"/>
      <color indexed="10"/>
      <name val="Times New Roman"/>
      <family val="1"/>
    </font>
    <font>
      <u/>
      <sz val="10"/>
      <color indexed="12"/>
      <name val="Arial"/>
    </font>
    <font>
      <sz val="16"/>
      <name val="Arial"/>
    </font>
    <font>
      <sz val="10"/>
      <color indexed="14"/>
      <name val="Arial"/>
    </font>
    <font>
      <sz val="10"/>
      <color indexed="10"/>
      <name val="Arial"/>
      <family val="2"/>
    </font>
    <font>
      <b/>
      <u/>
      <sz val="16"/>
      <color indexed="12"/>
      <name val="Arial"/>
      <family val="2"/>
    </font>
    <font>
      <b/>
      <sz val="14"/>
      <color indexed="10"/>
      <name val="Geneva"/>
    </font>
    <font>
      <sz val="10"/>
      <color indexed="10"/>
      <name val="Arial"/>
    </font>
    <font>
      <sz val="10"/>
      <color indexed="17"/>
      <name val="Arial"/>
    </font>
    <font>
      <b/>
      <sz val="10"/>
      <color indexed="17"/>
      <name val="Arial"/>
    </font>
    <font>
      <sz val="10"/>
      <name val="Arial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rgb="FFFA7D00"/>
      <name val="Calibri"/>
      <family val="2"/>
    </font>
    <font>
      <sz val="11"/>
      <color rgb="FFFA7D00"/>
      <name val="Calibri"/>
      <family val="2"/>
    </font>
    <font>
      <sz val="11"/>
      <color rgb="FF3F3F76"/>
      <name val="Calibri"/>
      <family val="2"/>
    </font>
    <font>
      <sz val="11"/>
      <color rgb="FF9C0006"/>
      <name val="Calibri"/>
      <family val="2"/>
    </font>
    <font>
      <sz val="11"/>
      <color rgb="FF9C6500"/>
      <name val="Calibri"/>
      <family val="2"/>
    </font>
    <font>
      <sz val="11"/>
      <color rgb="FF006100"/>
      <name val="Calibri"/>
      <family val="2"/>
    </font>
    <font>
      <b/>
      <sz val="11"/>
      <color rgb="FF3F3F3F"/>
      <name val="Calibri"/>
      <family val="2"/>
    </font>
    <font>
      <b/>
      <sz val="18"/>
      <color rgb="FF1F4A7E"/>
      <name val="Cambria"/>
      <family val="2"/>
    </font>
    <font>
      <b/>
      <sz val="15"/>
      <color rgb="FF1F4A7E"/>
      <name val="Calibri"/>
      <family val="2"/>
    </font>
    <font>
      <b/>
      <sz val="13"/>
      <color rgb="FF1F4A7E"/>
      <name val="Calibri"/>
      <family val="2"/>
    </font>
    <font>
      <b/>
      <sz val="11"/>
      <color rgb="FF1F4A7E"/>
      <name val="Calibri"/>
      <family val="2"/>
    </font>
    <font>
      <sz val="12"/>
      <color rgb="FF99CC00"/>
      <name val="Times New Roman"/>
      <family val="1"/>
    </font>
    <font>
      <sz val="12"/>
      <color rgb="FFFF00FF"/>
      <name val="Times New Roman"/>
      <family val="1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rgb="FF99CC00"/>
      <name val="Arial"/>
      <family val="2"/>
    </font>
    <font>
      <b/>
      <sz val="10"/>
      <color rgb="FFFF00FF"/>
      <name val="Arial"/>
      <family val="2"/>
    </font>
    <font>
      <sz val="10"/>
      <color rgb="FFFF00FF"/>
      <name val="Arial"/>
      <family val="2"/>
    </font>
    <font>
      <sz val="11"/>
      <name val="Arial"/>
      <family val="2"/>
    </font>
    <font>
      <sz val="10"/>
      <color rgb="FFFF00FF"/>
      <name val="Calibri"/>
      <family val="2"/>
    </font>
    <font>
      <sz val="11"/>
      <name val="Calibri"/>
      <family val="2"/>
    </font>
    <font>
      <sz val="10"/>
      <color rgb="FF0070C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DCE5F1"/>
      </patternFill>
    </fill>
    <fill>
      <patternFill patternType="solid">
        <fgColor rgb="FFF2DCDB"/>
      </patternFill>
    </fill>
    <fill>
      <patternFill patternType="solid">
        <fgColor rgb="FFEAF1DD"/>
      </patternFill>
    </fill>
    <fill>
      <patternFill patternType="solid">
        <fgColor rgb="FFE5DFEC"/>
      </patternFill>
    </fill>
    <fill>
      <patternFill patternType="solid">
        <fgColor rgb="FFDBEEF3"/>
      </patternFill>
    </fill>
    <fill>
      <patternFill patternType="solid">
        <fgColor rgb="FFFDE9D9"/>
      </patternFill>
    </fill>
    <fill>
      <patternFill patternType="solid">
        <fgColor rgb="FFB9CCE4"/>
      </patternFill>
    </fill>
    <fill>
      <patternFill patternType="solid">
        <fgColor rgb="FFE6B9B8"/>
      </patternFill>
    </fill>
    <fill>
      <patternFill patternType="solid">
        <fgColor rgb="FFD6E3BC"/>
      </patternFill>
    </fill>
    <fill>
      <patternFill patternType="solid">
        <fgColor rgb="FFCBC0D9"/>
      </patternFill>
    </fill>
    <fill>
      <patternFill patternType="solid">
        <fgColor rgb="FFB7DDE8"/>
      </patternFill>
    </fill>
    <fill>
      <patternFill patternType="solid">
        <fgColor rgb="FFFBD4B4"/>
      </patternFill>
    </fill>
    <fill>
      <patternFill patternType="solid">
        <fgColor rgb="FF96B3D7"/>
      </patternFill>
    </fill>
    <fill>
      <patternFill patternType="solid">
        <fgColor rgb="FFD99694"/>
      </patternFill>
    </fill>
    <fill>
      <patternFill patternType="solid">
        <fgColor rgb="FFC2D69B"/>
      </patternFill>
    </fill>
    <fill>
      <patternFill patternType="solid">
        <fgColor rgb="FFB2A1C6"/>
      </patternFill>
    </fill>
    <fill>
      <patternFill patternType="solid">
        <fgColor rgb="FF94CDDD"/>
      </patternFill>
    </fill>
    <fill>
      <patternFill patternType="solid">
        <fgColor rgb="FFFABF8F"/>
      </patternFill>
    </fill>
    <fill>
      <patternFill patternType="solid">
        <fgColor rgb="FF5181BD"/>
      </patternFill>
    </fill>
    <fill>
      <patternFill patternType="solid">
        <fgColor rgb="FFC0514D"/>
      </patternFill>
    </fill>
    <fill>
      <patternFill patternType="solid">
        <fgColor rgb="FF9ABA58"/>
      </patternFill>
    </fill>
    <fill>
      <patternFill patternType="solid">
        <fgColor rgb="FF7E62A1"/>
      </patternFill>
    </fill>
    <fill>
      <patternFill patternType="solid">
        <fgColor rgb="FF4CACC6"/>
      </patternFill>
    </fill>
    <fill>
      <patternFill patternType="solid">
        <fgColor rgb="FFF7954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A5A5A5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9" borderId="0" applyNumberFormat="0" applyBorder="0" applyAlignment="0" applyProtection="0"/>
    <xf numFmtId="0" fontId="36" fillId="20" borderId="0" applyNumberFormat="0" applyBorder="0" applyAlignment="0" applyProtection="0"/>
    <xf numFmtId="0" fontId="36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36" fillId="24" borderId="0" applyNumberFormat="0" applyBorder="0" applyAlignment="0" applyProtection="0"/>
    <xf numFmtId="0" fontId="36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37" fillId="0" borderId="0" applyNumberFormat="0" applyFill="0" applyBorder="0" applyAlignment="0" applyProtection="0"/>
    <xf numFmtId="0" fontId="41" fillId="28" borderId="43" applyNumberFormat="0" applyAlignment="0" applyProtection="0"/>
    <xf numFmtId="0" fontId="42" fillId="0" borderId="44" applyNumberFormat="0" applyFill="0" applyAlignment="0" applyProtection="0"/>
    <xf numFmtId="0" fontId="33" fillId="29" borderId="45" applyNumberFormat="0" applyFont="0" applyAlignment="0" applyProtection="0"/>
    <xf numFmtId="0" fontId="43" fillId="30" borderId="43" applyNumberFormat="0" applyAlignment="0" applyProtection="0"/>
    <xf numFmtId="0" fontId="44" fillId="31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5" fillId="32" borderId="0" applyNumberFormat="0" applyBorder="0" applyAlignment="0" applyProtection="0"/>
    <xf numFmtId="0" fontId="46" fillId="33" borderId="0" applyNumberFormat="0" applyBorder="0" applyAlignment="0" applyProtection="0"/>
    <xf numFmtId="0" fontId="47" fillId="28" borderId="46" applyNumberFormat="0" applyAlignment="0" applyProtection="0"/>
    <xf numFmtId="0" fontId="38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47" applyNumberFormat="0" applyFill="0" applyAlignment="0" applyProtection="0"/>
    <xf numFmtId="0" fontId="50" fillId="0" borderId="48" applyNumberFormat="0" applyFill="0" applyAlignment="0" applyProtection="0"/>
    <xf numFmtId="0" fontId="51" fillId="0" borderId="49" applyNumberFormat="0" applyFill="0" applyAlignment="0" applyProtection="0"/>
    <xf numFmtId="0" fontId="51" fillId="0" borderId="0" applyNumberFormat="0" applyFill="0" applyBorder="0" applyAlignment="0" applyProtection="0"/>
    <xf numFmtId="0" fontId="39" fillId="0" borderId="50" applyNumberFormat="0" applyFill="0" applyAlignment="0" applyProtection="0"/>
    <xf numFmtId="0" fontId="40" fillId="34" borderId="51" applyNumberFormat="0" applyAlignment="0" applyProtection="0"/>
  </cellStyleXfs>
  <cellXfs count="251">
    <xf numFmtId="0" fontId="0" fillId="0" borderId="0" xfId="0"/>
    <xf numFmtId="0" fontId="14" fillId="0" borderId="0" xfId="0" applyFont="1"/>
    <xf numFmtId="0" fontId="3" fillId="2" borderId="0" xfId="0" applyFont="1" applyFill="1" applyAlignment="1" applyProtection="1">
      <alignment horizontal="centerContinuous"/>
    </xf>
    <xf numFmtId="0" fontId="0" fillId="0" borderId="0" xfId="0" applyProtection="1"/>
    <xf numFmtId="0" fontId="4" fillId="0" borderId="0" xfId="0" applyFont="1" applyProtection="1"/>
    <xf numFmtId="169" fontId="3" fillId="2" borderId="0" xfId="0" applyNumberFormat="1" applyFont="1" applyFill="1" applyAlignment="1" applyProtection="1">
      <alignment horizontal="center"/>
    </xf>
    <xf numFmtId="169" fontId="0" fillId="0" borderId="0" xfId="0" applyNumberFormat="1" applyProtection="1"/>
    <xf numFmtId="0" fontId="6" fillId="0" borderId="1" xfId="0" applyFont="1" applyBorder="1" applyAlignment="1" applyProtection="1">
      <alignment horizontal="center"/>
    </xf>
    <xf numFmtId="0" fontId="6" fillId="0" borderId="2" xfId="0" applyFont="1" applyBorder="1" applyAlignment="1" applyProtection="1">
      <alignment horizontal="right"/>
    </xf>
    <xf numFmtId="0" fontId="6" fillId="0" borderId="3" xfId="0" applyFont="1" applyBorder="1" applyAlignment="1" applyProtection="1">
      <alignment horizontal="right"/>
    </xf>
    <xf numFmtId="0" fontId="5" fillId="0" borderId="4" xfId="0" applyFont="1" applyFill="1" applyBorder="1" applyProtection="1"/>
    <xf numFmtId="165" fontId="5" fillId="0" borderId="5" xfId="0" applyNumberFormat="1" applyFont="1" applyBorder="1" applyProtection="1"/>
    <xf numFmtId="165" fontId="7" fillId="0" borderId="5" xfId="0" applyNumberFormat="1" applyFont="1" applyBorder="1" applyProtection="1"/>
    <xf numFmtId="0" fontId="13" fillId="0" borderId="4" xfId="0" applyFont="1" applyFill="1" applyBorder="1" applyProtection="1"/>
    <xf numFmtId="165" fontId="13" fillId="0" borderId="5" xfId="0" applyNumberFormat="1" applyFont="1" applyBorder="1" applyProtection="1"/>
    <xf numFmtId="0" fontId="14" fillId="0" borderId="0" xfId="0" applyFont="1" applyProtection="1"/>
    <xf numFmtId="0" fontId="5" fillId="0" borderId="6" xfId="0" applyFont="1" applyBorder="1" applyProtection="1"/>
    <xf numFmtId="0" fontId="9" fillId="0" borderId="7" xfId="0" applyFont="1" applyBorder="1" applyProtection="1"/>
    <xf numFmtId="165" fontId="9" fillId="0" borderId="8" xfId="0" applyNumberFormat="1" applyFont="1" applyBorder="1" applyProtection="1"/>
    <xf numFmtId="0" fontId="8" fillId="0" borderId="0" xfId="0" applyFont="1" applyBorder="1" applyProtection="1"/>
    <xf numFmtId="165" fontId="8" fillId="0" borderId="0" xfId="0" applyNumberFormat="1" applyFont="1" applyBorder="1" applyProtection="1"/>
    <xf numFmtId="172" fontId="8" fillId="0" borderId="0" xfId="32" applyNumberFormat="1" applyFont="1" applyBorder="1" applyProtection="1"/>
    <xf numFmtId="0" fontId="0" fillId="0" borderId="4" xfId="0" applyBorder="1" applyProtection="1"/>
    <xf numFmtId="0" fontId="0" fillId="0" borderId="5" xfId="0" applyBorder="1" applyProtection="1"/>
    <xf numFmtId="0" fontId="4" fillId="0" borderId="5" xfId="0" applyFont="1" applyBorder="1" applyAlignment="1" applyProtection="1">
      <alignment horizontal="center"/>
    </xf>
    <xf numFmtId="0" fontId="4" fillId="0" borderId="9" xfId="0" applyFont="1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/>
    </xf>
    <xf numFmtId="2" fontId="0" fillId="0" borderId="5" xfId="0" applyNumberFormat="1" applyBorder="1" applyAlignment="1" applyProtection="1">
      <alignment horizontal="center" vertical="center" wrapText="1"/>
    </xf>
    <xf numFmtId="165" fontId="0" fillId="0" borderId="5" xfId="0" applyNumberFormat="1" applyBorder="1" applyAlignment="1" applyProtection="1">
      <alignment horizontal="center"/>
    </xf>
    <xf numFmtId="2" fontId="0" fillId="0" borderId="5" xfId="0" applyNumberFormat="1" applyBorder="1" applyAlignment="1" applyProtection="1">
      <alignment horizontal="center"/>
    </xf>
    <xf numFmtId="166" fontId="0" fillId="0" borderId="5" xfId="0" applyNumberFormat="1" applyBorder="1" applyAlignment="1" applyProtection="1">
      <alignment horizontal="center"/>
    </xf>
    <xf numFmtId="0" fontId="0" fillId="0" borderId="4" xfId="0" applyBorder="1" applyAlignment="1" applyProtection="1">
      <alignment horizontal="center" vertical="center" wrapText="1"/>
    </xf>
    <xf numFmtId="2" fontId="0" fillId="0" borderId="4" xfId="0" applyNumberFormat="1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/>
    </xf>
    <xf numFmtId="2" fontId="0" fillId="0" borderId="10" xfId="0" applyNumberFormat="1" applyBorder="1" applyAlignment="1" applyProtection="1">
      <alignment horizontal="center"/>
    </xf>
    <xf numFmtId="166" fontId="0" fillId="0" borderId="10" xfId="0" applyNumberFormat="1" applyFill="1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165" fontId="10" fillId="0" borderId="2" xfId="0" applyNumberFormat="1" applyFont="1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165" fontId="10" fillId="0" borderId="8" xfId="0" applyNumberFormat="1" applyFont="1" applyFill="1" applyBorder="1" applyAlignment="1" applyProtection="1">
      <alignment horizontal="center"/>
    </xf>
    <xf numFmtId="2" fontId="0" fillId="0" borderId="0" xfId="0" applyNumberFormat="1" applyAlignment="1" applyProtection="1">
      <alignment horizontal="center"/>
    </xf>
    <xf numFmtId="166" fontId="0" fillId="0" borderId="0" xfId="0" applyNumberFormat="1" applyAlignment="1" applyProtection="1">
      <alignment horizontal="center"/>
    </xf>
    <xf numFmtId="166" fontId="0" fillId="0" borderId="0" xfId="0" applyNumberFormat="1" applyFill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168" fontId="0" fillId="0" borderId="0" xfId="0" applyNumberFormat="1" applyAlignment="1" applyProtection="1">
      <alignment horizontal="center"/>
    </xf>
    <xf numFmtId="167" fontId="0" fillId="0" borderId="0" xfId="0" applyNumberFormat="1" applyAlignment="1" applyProtection="1">
      <alignment horizontal="center"/>
    </xf>
    <xf numFmtId="0" fontId="11" fillId="0" borderId="0" xfId="0" applyFont="1" applyProtection="1"/>
    <xf numFmtId="0" fontId="11" fillId="0" borderId="0" xfId="0" applyFont="1" applyAlignment="1" applyProtection="1">
      <alignment horizontal="left"/>
    </xf>
    <xf numFmtId="0" fontId="11" fillId="0" borderId="0" xfId="0" applyFont="1" applyAlignment="1" applyProtection="1">
      <alignment horizontal="right"/>
    </xf>
    <xf numFmtId="170" fontId="11" fillId="0" borderId="0" xfId="0" applyNumberFormat="1" applyFont="1" applyAlignment="1" applyProtection="1">
      <alignment horizontal="left"/>
    </xf>
    <xf numFmtId="171" fontId="11" fillId="0" borderId="0" xfId="0" applyNumberFormat="1" applyFont="1" applyAlignment="1" applyProtection="1">
      <alignment horizontal="left"/>
    </xf>
    <xf numFmtId="167" fontId="11" fillId="0" borderId="0" xfId="0" applyNumberFormat="1" applyFont="1" applyAlignment="1" applyProtection="1">
      <alignment horizontal="left"/>
    </xf>
    <xf numFmtId="0" fontId="12" fillId="0" borderId="0" xfId="0" applyFont="1" applyProtection="1"/>
    <xf numFmtId="165" fontId="7" fillId="0" borderId="9" xfId="0" applyNumberFormat="1" applyFont="1" applyBorder="1" applyProtection="1"/>
    <xf numFmtId="165" fontId="5" fillId="0" borderId="9" xfId="0" applyNumberFormat="1" applyFont="1" applyBorder="1" applyProtection="1"/>
    <xf numFmtId="165" fontId="13" fillId="0" borderId="9" xfId="0" applyNumberFormat="1" applyFont="1" applyBorder="1" applyProtection="1"/>
    <xf numFmtId="165" fontId="0" fillId="0" borderId="11" xfId="0" applyNumberFormat="1" applyBorder="1" applyProtection="1"/>
    <xf numFmtId="165" fontId="5" fillId="0" borderId="12" xfId="0" applyNumberFormat="1" applyFont="1" applyBorder="1" applyProtection="1"/>
    <xf numFmtId="165" fontId="9" fillId="0" borderId="13" xfId="0" applyNumberFormat="1" applyFont="1" applyBorder="1" applyProtection="1"/>
    <xf numFmtId="0" fontId="3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9" fontId="0" fillId="0" borderId="9" xfId="0" applyNumberFormat="1" applyBorder="1" applyAlignment="1" applyProtection="1">
      <alignment horizontal="center"/>
    </xf>
    <xf numFmtId="169" fontId="0" fillId="0" borderId="12" xfId="0" applyNumberForma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right"/>
    </xf>
    <xf numFmtId="0" fontId="0" fillId="0" borderId="0" xfId="0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22" fillId="0" borderId="0" xfId="0" applyFont="1" applyProtection="1"/>
    <xf numFmtId="0" fontId="25" fillId="0" borderId="0" xfId="0" applyFont="1" applyProtection="1"/>
    <xf numFmtId="169" fontId="26" fillId="0" borderId="9" xfId="0" applyNumberFormat="1" applyFont="1" applyBorder="1" applyAlignment="1" applyProtection="1">
      <alignment horizontal="center"/>
    </xf>
    <xf numFmtId="169" fontId="27" fillId="0" borderId="3" xfId="0" applyNumberFormat="1" applyFont="1" applyFill="1" applyBorder="1" applyAlignment="1" applyProtection="1">
      <alignment horizontal="center"/>
    </xf>
    <xf numFmtId="169" fontId="27" fillId="0" borderId="13" xfId="0" applyNumberFormat="1" applyFont="1" applyFill="1" applyBorder="1" applyAlignment="1" applyProtection="1">
      <alignment horizontal="center"/>
    </xf>
    <xf numFmtId="165" fontId="0" fillId="0" borderId="0" xfId="0" applyNumberFormat="1" applyProtection="1"/>
    <xf numFmtId="0" fontId="30" fillId="0" borderId="0" xfId="0" applyFont="1" applyProtection="1"/>
    <xf numFmtId="0" fontId="0" fillId="0" borderId="5" xfId="0" applyBorder="1" applyAlignment="1" applyProtection="1">
      <alignment horizontal="center" vertical="center"/>
    </xf>
    <xf numFmtId="14" fontId="0" fillId="0" borderId="5" xfId="0" applyNumberFormat="1" applyBorder="1" applyAlignment="1" applyProtection="1">
      <alignment horizontal="center" vertical="center"/>
    </xf>
    <xf numFmtId="0" fontId="23" fillId="2" borderId="0" xfId="0" applyFont="1" applyFill="1" applyAlignment="1" applyProtection="1">
      <alignment horizontal="center" vertical="center"/>
    </xf>
    <xf numFmtId="0" fontId="23" fillId="2" borderId="0" xfId="0" applyFont="1" applyFill="1" applyAlignment="1" applyProtection="1">
      <alignment vertical="center"/>
    </xf>
    <xf numFmtId="0" fontId="22" fillId="0" borderId="0" xfId="0" applyFont="1" applyAlignment="1" applyProtection="1">
      <alignment wrapText="1"/>
    </xf>
    <xf numFmtId="165" fontId="13" fillId="0" borderId="5" xfId="0" quotePrefix="1" applyNumberFormat="1" applyFont="1" applyFill="1" applyBorder="1" applyAlignment="1" applyProtection="1">
      <alignment horizontal="left"/>
    </xf>
    <xf numFmtId="170" fontId="18" fillId="0" borderId="0" xfId="0" applyNumberFormat="1" applyFont="1" applyFill="1" applyAlignment="1" applyProtection="1">
      <alignment horizontal="left"/>
    </xf>
    <xf numFmtId="173" fontId="11" fillId="0" borderId="0" xfId="0" applyNumberFormat="1" applyFont="1" applyFill="1" applyAlignment="1" applyProtection="1">
      <alignment horizontal="left"/>
    </xf>
    <xf numFmtId="0" fontId="0" fillId="0" borderId="5" xfId="0" applyBorder="1" applyAlignment="1" applyProtection="1">
      <alignment horizontal="center" vertical="center" wrapText="1"/>
    </xf>
    <xf numFmtId="0" fontId="0" fillId="0" borderId="14" xfId="0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center"/>
    </xf>
    <xf numFmtId="166" fontId="0" fillId="0" borderId="2" xfId="0" applyNumberFormat="1" applyBorder="1" applyAlignment="1" applyProtection="1">
      <alignment horizontal="center"/>
    </xf>
    <xf numFmtId="0" fontId="0" fillId="0" borderId="7" xfId="0" applyBorder="1" applyAlignment="1" applyProtection="1">
      <alignment horizontal="center" vertical="center"/>
    </xf>
    <xf numFmtId="2" fontId="0" fillId="0" borderId="8" xfId="0" applyNumberFormat="1" applyBorder="1" applyAlignment="1" applyProtection="1">
      <alignment horizontal="center"/>
    </xf>
    <xf numFmtId="166" fontId="0" fillId="0" borderId="8" xfId="0" applyNumberFormat="1" applyBorder="1" applyAlignment="1" applyProtection="1">
      <alignment horizontal="center"/>
    </xf>
    <xf numFmtId="2" fontId="0" fillId="0" borderId="10" xfId="0" applyNumberFormat="1" applyBorder="1" applyAlignment="1" applyProtection="1">
      <alignment horizontal="center" vertical="center" wrapText="1"/>
    </xf>
    <xf numFmtId="165" fontId="0" fillId="0" borderId="10" xfId="0" applyNumberFormat="1" applyBorder="1" applyAlignment="1" applyProtection="1">
      <alignment horizontal="center"/>
    </xf>
    <xf numFmtId="169" fontId="26" fillId="0" borderId="12" xfId="0" applyNumberFormat="1" applyFont="1" applyBorder="1" applyAlignment="1" applyProtection="1">
      <alignment horizontal="center"/>
    </xf>
    <xf numFmtId="165" fontId="10" fillId="0" borderId="14" xfId="0" applyNumberFormat="1" applyFont="1" applyFill="1" applyBorder="1" applyAlignment="1" applyProtection="1">
      <alignment horizontal="center"/>
    </xf>
    <xf numFmtId="169" fontId="27" fillId="0" borderId="15" xfId="0" applyNumberFormat="1" applyFont="1" applyFill="1" applyBorder="1" applyAlignment="1" applyProtection="1">
      <alignment horizontal="center"/>
    </xf>
    <xf numFmtId="169" fontId="0" fillId="0" borderId="5" xfId="0" applyNumberFormat="1" applyBorder="1" applyAlignment="1" applyProtection="1">
      <alignment horizontal="center"/>
    </xf>
    <xf numFmtId="169" fontId="0" fillId="0" borderId="2" xfId="0" applyNumberFormat="1" applyBorder="1" applyAlignment="1" applyProtection="1">
      <alignment horizontal="center"/>
    </xf>
    <xf numFmtId="169" fontId="0" fillId="0" borderId="8" xfId="0" applyNumberFormat="1" applyFill="1" applyBorder="1" applyAlignment="1" applyProtection="1">
      <alignment horizontal="center"/>
    </xf>
    <xf numFmtId="0" fontId="31" fillId="0" borderId="1" xfId="0" applyFont="1" applyFill="1" applyBorder="1" applyAlignment="1" applyProtection="1">
      <alignment horizontal="center" vertical="center"/>
    </xf>
    <xf numFmtId="2" fontId="31" fillId="0" borderId="2" xfId="0" applyNumberFormat="1" applyFont="1" applyFill="1" applyBorder="1" applyAlignment="1" applyProtection="1">
      <alignment horizontal="center"/>
    </xf>
    <xf numFmtId="166" fontId="31" fillId="0" borderId="2" xfId="0" applyNumberFormat="1" applyFont="1" applyFill="1" applyBorder="1" applyAlignment="1" applyProtection="1">
      <alignment horizontal="center"/>
    </xf>
    <xf numFmtId="169" fontId="31" fillId="0" borderId="16" xfId="0" applyNumberFormat="1" applyFont="1" applyFill="1" applyBorder="1" applyAlignment="1" applyProtection="1">
      <alignment horizontal="center"/>
    </xf>
    <xf numFmtId="0" fontId="31" fillId="0" borderId="4" xfId="0" applyFont="1" applyFill="1" applyBorder="1" applyAlignment="1" applyProtection="1">
      <alignment horizontal="center" vertical="center" wrapText="1"/>
    </xf>
    <xf numFmtId="2" fontId="31" fillId="0" borderId="5" xfId="0" applyNumberFormat="1" applyFont="1" applyFill="1" applyBorder="1" applyAlignment="1" applyProtection="1">
      <alignment horizontal="center"/>
    </xf>
    <xf numFmtId="166" fontId="31" fillId="0" borderId="5" xfId="0" applyNumberFormat="1" applyFont="1" applyFill="1" applyBorder="1" applyAlignment="1" applyProtection="1">
      <alignment horizontal="center"/>
    </xf>
    <xf numFmtId="169" fontId="31" fillId="0" borderId="17" xfId="0" applyNumberFormat="1" applyFont="1" applyFill="1" applyBorder="1" applyAlignment="1" applyProtection="1">
      <alignment horizontal="center"/>
    </xf>
    <xf numFmtId="2" fontId="31" fillId="0" borderId="4" xfId="0" applyNumberFormat="1" applyFont="1" applyFill="1" applyBorder="1" applyAlignment="1" applyProtection="1">
      <alignment horizontal="center" vertical="center" wrapText="1"/>
    </xf>
    <xf numFmtId="0" fontId="31" fillId="0" borderId="6" xfId="0" applyFont="1" applyFill="1" applyBorder="1" applyAlignment="1" applyProtection="1">
      <alignment horizontal="center" vertical="center"/>
    </xf>
    <xf numFmtId="2" fontId="31" fillId="0" borderId="10" xfId="0" applyNumberFormat="1" applyFont="1" applyFill="1" applyBorder="1" applyAlignment="1" applyProtection="1">
      <alignment horizontal="center"/>
    </xf>
    <xf numFmtId="166" fontId="31" fillId="0" borderId="10" xfId="0" applyNumberFormat="1" applyFont="1" applyFill="1" applyBorder="1" applyAlignment="1" applyProtection="1">
      <alignment horizontal="center"/>
    </xf>
    <xf numFmtId="169" fontId="31" fillId="0" borderId="18" xfId="0" applyNumberFormat="1" applyFont="1" applyFill="1" applyBorder="1" applyAlignment="1" applyProtection="1">
      <alignment horizontal="center"/>
    </xf>
    <xf numFmtId="0" fontId="5" fillId="0" borderId="4" xfId="0" applyFont="1" applyFill="1" applyBorder="1" applyProtection="1">
      <protection locked="0"/>
    </xf>
    <xf numFmtId="170" fontId="5" fillId="0" borderId="5" xfId="0" applyNumberFormat="1" applyFont="1" applyFill="1" applyBorder="1" applyProtection="1">
      <protection locked="0"/>
    </xf>
    <xf numFmtId="168" fontId="5" fillId="0" borderId="5" xfId="0" applyNumberFormat="1" applyFont="1" applyBorder="1" applyProtection="1"/>
    <xf numFmtId="168" fontId="7" fillId="0" borderId="5" xfId="0" applyNumberFormat="1" applyFont="1" applyBorder="1" applyProtection="1"/>
    <xf numFmtId="168" fontId="5" fillId="3" borderId="5" xfId="0" applyNumberFormat="1" applyFont="1" applyFill="1" applyBorder="1" applyProtection="1">
      <protection locked="0"/>
    </xf>
    <xf numFmtId="168" fontId="5" fillId="0" borderId="5" xfId="0" applyNumberFormat="1" applyFont="1" applyFill="1" applyBorder="1" applyProtection="1"/>
    <xf numFmtId="168" fontId="13" fillId="0" borderId="5" xfId="0" applyNumberFormat="1" applyFont="1" applyBorder="1" applyProtection="1"/>
    <xf numFmtId="168" fontId="5" fillId="0" borderId="5" xfId="0" applyNumberFormat="1" applyFont="1" applyBorder="1" applyAlignment="1" applyProtection="1">
      <alignment horizontal="left"/>
    </xf>
    <xf numFmtId="168" fontId="5" fillId="0" borderId="10" xfId="0" applyNumberFormat="1" applyFont="1" applyBorder="1" applyProtection="1"/>
    <xf numFmtId="168" fontId="9" fillId="0" borderId="8" xfId="0" applyNumberFormat="1" applyFont="1" applyBorder="1" applyProtection="1"/>
    <xf numFmtId="0" fontId="5" fillId="0" borderId="4" xfId="0" applyFont="1" applyFill="1" applyBorder="1" applyAlignment="1" applyProtection="1">
      <alignment horizontal="right"/>
    </xf>
    <xf numFmtId="175" fontId="5" fillId="3" borderId="5" xfId="0" applyNumberFormat="1" applyFont="1" applyFill="1" applyBorder="1" applyProtection="1">
      <protection locked="0"/>
    </xf>
    <xf numFmtId="176" fontId="5" fillId="0" borderId="5" xfId="0" applyNumberFormat="1" applyFont="1" applyBorder="1" applyProtection="1"/>
    <xf numFmtId="177" fontId="5" fillId="3" borderId="5" xfId="0" applyNumberFormat="1" applyFont="1" applyFill="1" applyBorder="1" applyProtection="1">
      <protection locked="0"/>
    </xf>
    <xf numFmtId="175" fontId="5" fillId="0" borderId="5" xfId="0" applyNumberFormat="1" applyFont="1" applyFill="1" applyBorder="1" applyProtection="1"/>
    <xf numFmtId="175" fontId="5" fillId="0" borderId="5" xfId="0" applyNumberFormat="1" applyFont="1" applyFill="1" applyBorder="1" applyProtection="1">
      <protection locked="0"/>
    </xf>
    <xf numFmtId="0" fontId="34" fillId="2" borderId="0" xfId="0" applyFont="1" applyFill="1" applyAlignment="1" applyProtection="1">
      <alignment horizontal="centerContinuous"/>
    </xf>
    <xf numFmtId="0" fontId="27" fillId="0" borderId="0" xfId="0" applyFont="1" applyProtection="1"/>
    <xf numFmtId="0" fontId="18" fillId="0" borderId="19" xfId="0" applyFont="1" applyBorder="1" applyProtection="1"/>
    <xf numFmtId="0" fontId="0" fillId="0" borderId="20" xfId="0" applyBorder="1" applyProtection="1"/>
    <xf numFmtId="0" fontId="0" fillId="0" borderId="20" xfId="0" applyBorder="1"/>
    <xf numFmtId="0" fontId="0" fillId="0" borderId="21" xfId="0" applyBorder="1"/>
    <xf numFmtId="0" fontId="27" fillId="0" borderId="22" xfId="0" applyFont="1" applyBorder="1" applyAlignment="1" applyProtection="1">
      <alignment horizontal="left"/>
    </xf>
    <xf numFmtId="0" fontId="0" fillId="0" borderId="23" xfId="0" applyBorder="1" applyProtection="1"/>
    <xf numFmtId="0" fontId="0" fillId="0" borderId="23" xfId="0" applyBorder="1"/>
    <xf numFmtId="0" fontId="0" fillId="0" borderId="24" xfId="0" applyBorder="1"/>
    <xf numFmtId="0" fontId="27" fillId="0" borderId="25" xfId="0" applyFont="1" applyBorder="1" applyAlignment="1" applyProtection="1">
      <alignment horizontal="left"/>
    </xf>
    <xf numFmtId="0" fontId="0" fillId="0" borderId="0" xfId="0" applyBorder="1" applyProtection="1"/>
    <xf numFmtId="0" fontId="0" fillId="0" borderId="0" xfId="0" applyBorder="1"/>
    <xf numFmtId="0" fontId="0" fillId="0" borderId="26" xfId="0" applyBorder="1"/>
    <xf numFmtId="0" fontId="11" fillId="0" borderId="23" xfId="0" applyFont="1" applyBorder="1" applyAlignment="1" applyProtection="1">
      <alignment horizontal="left"/>
    </xf>
    <xf numFmtId="174" fontId="13" fillId="0" borderId="5" xfId="0" applyNumberFormat="1" applyFont="1" applyBorder="1" applyProtection="1"/>
    <xf numFmtId="0" fontId="10" fillId="0" borderId="5" xfId="0" applyFont="1" applyBorder="1" applyAlignment="1" applyProtection="1">
      <alignment horizontal="center" vertical="center"/>
    </xf>
    <xf numFmtId="168" fontId="5" fillId="3" borderId="5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Protection="1">
      <protection locked="0"/>
    </xf>
    <xf numFmtId="175" fontId="5" fillId="0" borderId="0" xfId="0" applyNumberFormat="1" applyFont="1" applyFill="1" applyBorder="1" applyProtection="1">
      <protection locked="0"/>
    </xf>
    <xf numFmtId="0" fontId="0" fillId="0" borderId="0" xfId="0" applyBorder="1" applyProtection="1">
      <protection locked="0"/>
    </xf>
    <xf numFmtId="0" fontId="5" fillId="0" borderId="5" xfId="0" applyFont="1" applyFill="1" applyBorder="1" applyProtection="1">
      <protection locked="0"/>
    </xf>
    <xf numFmtId="0" fontId="0" fillId="0" borderId="5" xfId="0" applyBorder="1" applyProtection="1">
      <protection locked="0"/>
    </xf>
    <xf numFmtId="178" fontId="11" fillId="0" borderId="0" xfId="0" applyNumberFormat="1" applyFont="1" applyAlignment="1" applyProtection="1">
      <alignment horizontal="left"/>
    </xf>
    <xf numFmtId="2" fontId="5" fillId="3" borderId="5" xfId="0" applyNumberFormat="1" applyFont="1" applyFill="1" applyBorder="1" applyProtection="1">
      <protection locked="0"/>
    </xf>
    <xf numFmtId="0" fontId="16" fillId="0" borderId="0" xfId="0" applyFont="1" applyAlignment="1" applyProtection="1"/>
    <xf numFmtId="0" fontId="52" fillId="0" borderId="7" xfId="0" applyFont="1" applyBorder="1" applyProtection="1"/>
    <xf numFmtId="168" fontId="53" fillId="0" borderId="5" xfId="0" applyNumberFormat="1" applyFont="1" applyBorder="1" applyProtection="1"/>
    <xf numFmtId="0" fontId="54" fillId="0" borderId="18" xfId="0" applyFont="1" applyBorder="1" applyProtection="1"/>
    <xf numFmtId="0" fontId="0" fillId="0" borderId="27" xfId="0" applyBorder="1" applyProtection="1"/>
    <xf numFmtId="0" fontId="0" fillId="0" borderId="27" xfId="0" applyBorder="1"/>
    <xf numFmtId="0" fontId="0" fillId="0" borderId="28" xfId="0" applyBorder="1"/>
    <xf numFmtId="0" fontId="0" fillId="0" borderId="29" xfId="0" applyBorder="1" applyProtection="1"/>
    <xf numFmtId="0" fontId="0" fillId="0" borderId="30" xfId="0" applyBorder="1"/>
    <xf numFmtId="0" fontId="55" fillId="0" borderId="29" xfId="0" applyFont="1" applyBorder="1" applyProtection="1"/>
    <xf numFmtId="0" fontId="55" fillId="0" borderId="0" xfId="0" applyFont="1" applyBorder="1" applyProtection="1"/>
    <xf numFmtId="165" fontId="55" fillId="0" borderId="0" xfId="0" applyNumberFormat="1" applyFont="1" applyBorder="1" applyProtection="1"/>
    <xf numFmtId="10" fontId="55" fillId="0" borderId="0" xfId="0" applyNumberFormat="1" applyFont="1" applyBorder="1" applyProtection="1"/>
    <xf numFmtId="0" fontId="55" fillId="0" borderId="0" xfId="0" applyFont="1" applyBorder="1"/>
    <xf numFmtId="0" fontId="56" fillId="0" borderId="29" xfId="0" applyFont="1" applyBorder="1" applyProtection="1"/>
    <xf numFmtId="0" fontId="56" fillId="0" borderId="0" xfId="0" applyFont="1" applyBorder="1" applyProtection="1"/>
    <xf numFmtId="165" fontId="56" fillId="0" borderId="0" xfId="0" applyNumberFormat="1" applyFont="1" applyBorder="1" applyProtection="1"/>
    <xf numFmtId="0" fontId="56" fillId="0" borderId="0" xfId="0" applyFont="1" applyBorder="1"/>
    <xf numFmtId="10" fontId="56" fillId="0" borderId="0" xfId="0" applyNumberFormat="1" applyFont="1" applyBorder="1" applyProtection="1"/>
    <xf numFmtId="0" fontId="57" fillId="0" borderId="29" xfId="0" applyFont="1" applyBorder="1" applyAlignment="1" applyProtection="1">
      <alignment horizontal="left"/>
    </xf>
    <xf numFmtId="0" fontId="58" fillId="0" borderId="0" xfId="0" applyFont="1" applyBorder="1" applyProtection="1"/>
    <xf numFmtId="0" fontId="58" fillId="0" borderId="0" xfId="0" applyFont="1" applyBorder="1"/>
    <xf numFmtId="0" fontId="58" fillId="0" borderId="29" xfId="0" applyFont="1" applyBorder="1" applyProtection="1"/>
    <xf numFmtId="165" fontId="58" fillId="0" borderId="0" xfId="0" applyNumberFormat="1" applyFont="1" applyBorder="1" applyProtection="1"/>
    <xf numFmtId="0" fontId="58" fillId="0" borderId="31" xfId="0" applyFont="1" applyBorder="1" applyProtection="1"/>
    <xf numFmtId="0" fontId="58" fillId="0" borderId="32" xfId="0" applyFont="1" applyBorder="1" applyProtection="1"/>
    <xf numFmtId="10" fontId="58" fillId="0" borderId="32" xfId="0" applyNumberFormat="1" applyFont="1" applyBorder="1" applyProtection="1"/>
    <xf numFmtId="0" fontId="58" fillId="0" borderId="32" xfId="0" applyFont="1" applyBorder="1"/>
    <xf numFmtId="0" fontId="0" fillId="0" borderId="32" xfId="0" applyBorder="1"/>
    <xf numFmtId="0" fontId="0" fillId="0" borderId="33" xfId="0" applyBorder="1"/>
    <xf numFmtId="165" fontId="5" fillId="0" borderId="5" xfId="0" applyNumberFormat="1" applyFont="1" applyFill="1" applyBorder="1" applyProtection="1"/>
    <xf numFmtId="0" fontId="10" fillId="2" borderId="5" xfId="0" applyFont="1" applyFill="1" applyBorder="1" applyAlignment="1" applyProtection="1">
      <alignment horizontal="center" vertical="center" wrapText="1"/>
    </xf>
    <xf numFmtId="165" fontId="5" fillId="0" borderId="9" xfId="0" applyNumberFormat="1" applyFont="1" applyFill="1" applyBorder="1" applyProtection="1"/>
    <xf numFmtId="168" fontId="5" fillId="0" borderId="5" xfId="0" applyNumberFormat="1" applyFont="1" applyFill="1" applyBorder="1" applyAlignment="1" applyProtection="1">
      <alignment horizontal="center"/>
    </xf>
    <xf numFmtId="0" fontId="10" fillId="0" borderId="5" xfId="0" applyFont="1" applyFill="1" applyBorder="1" applyAlignment="1" applyProtection="1">
      <alignment horizontal="center" vertical="center"/>
    </xf>
    <xf numFmtId="0" fontId="59" fillId="0" borderId="0" xfId="0" applyFont="1" applyAlignment="1" applyProtection="1">
      <alignment wrapText="1"/>
    </xf>
    <xf numFmtId="0" fontId="59" fillId="0" borderId="0" xfId="0" applyFont="1" applyProtection="1"/>
    <xf numFmtId="0" fontId="10" fillId="0" borderId="0" xfId="0" applyFont="1"/>
    <xf numFmtId="0" fontId="10" fillId="0" borderId="4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61" fillId="0" borderId="0" xfId="0" applyFont="1" applyAlignment="1">
      <alignment wrapText="1"/>
    </xf>
    <xf numFmtId="165" fontId="0" fillId="0" borderId="10" xfId="0" applyNumberFormat="1" applyBorder="1" applyAlignment="1" applyProtection="1">
      <alignment horizontal="center" vertical="center"/>
    </xf>
    <xf numFmtId="169" fontId="26" fillId="0" borderId="12" xfId="0" applyNumberFormat="1" applyFont="1" applyBorder="1" applyAlignment="1" applyProtection="1">
      <alignment horizontal="center" vertical="center"/>
    </xf>
    <xf numFmtId="0" fontId="0" fillId="0" borderId="5" xfId="0" applyBorder="1" applyAlignment="1">
      <alignment vertical="center"/>
    </xf>
    <xf numFmtId="10" fontId="0" fillId="0" borderId="5" xfId="0" applyNumberFormat="1" applyBorder="1" applyAlignment="1">
      <alignment vertical="center"/>
    </xf>
    <xf numFmtId="166" fontId="0" fillId="0" borderId="2" xfId="0" applyNumberFormat="1" applyBorder="1" applyAlignment="1" applyProtection="1">
      <alignment horizontal="center" vertical="center"/>
    </xf>
    <xf numFmtId="169" fontId="0" fillId="0" borderId="3" xfId="0" applyNumberFormat="1" applyBorder="1" applyAlignment="1" applyProtection="1">
      <alignment horizontal="center" vertical="center"/>
    </xf>
    <xf numFmtId="2" fontId="0" fillId="0" borderId="52" xfId="0" applyNumberFormat="1" applyBorder="1" applyAlignment="1">
      <alignment vertical="center"/>
    </xf>
    <xf numFmtId="166" fontId="0" fillId="0" borderId="5" xfId="0" applyNumberFormat="1" applyBorder="1" applyAlignment="1" applyProtection="1">
      <alignment horizontal="center" vertical="center"/>
    </xf>
    <xf numFmtId="169" fontId="0" fillId="0" borderId="9" xfId="0" applyNumberFormat="1" applyBorder="1" applyAlignment="1" applyProtection="1">
      <alignment horizontal="center" vertical="center"/>
    </xf>
    <xf numFmtId="169" fontId="0" fillId="0" borderId="12" xfId="0" applyNumberFormat="1" applyFill="1" applyBorder="1" applyAlignment="1" applyProtection="1">
      <alignment horizontal="center" vertical="center"/>
    </xf>
    <xf numFmtId="166" fontId="10" fillId="0" borderId="8" xfId="0" applyNumberFormat="1" applyFont="1" applyBorder="1" applyAlignment="1" applyProtection="1">
      <alignment horizontal="center" vertical="center"/>
    </xf>
    <xf numFmtId="169" fontId="0" fillId="0" borderId="13" xfId="0" applyNumberFormat="1" applyFill="1" applyBorder="1" applyAlignment="1" applyProtection="1">
      <alignment horizontal="center" vertical="center"/>
    </xf>
    <xf numFmtId="165" fontId="10" fillId="0" borderId="2" xfId="0" applyNumberFormat="1" applyFont="1" applyFill="1" applyBorder="1" applyAlignment="1" applyProtection="1">
      <alignment horizontal="center" vertical="center"/>
    </xf>
    <xf numFmtId="169" fontId="27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165" fontId="10" fillId="0" borderId="8" xfId="0" applyNumberFormat="1" applyFont="1" applyFill="1" applyBorder="1" applyAlignment="1" applyProtection="1">
      <alignment horizontal="center" vertical="center"/>
    </xf>
    <xf numFmtId="169" fontId="27" fillId="0" borderId="13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vertical="center" wrapText="1"/>
    </xf>
    <xf numFmtId="0" fontId="62" fillId="0" borderId="0" xfId="0" applyFont="1" applyBorder="1" applyAlignment="1">
      <alignment horizontal="center" vertical="center" wrapText="1"/>
    </xf>
    <xf numFmtId="0" fontId="62" fillId="0" borderId="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0" fontId="15" fillId="2" borderId="0" xfId="0" applyFont="1" applyFill="1" applyAlignment="1" applyProtection="1">
      <alignment horizontal="center" vertical="center"/>
    </xf>
    <xf numFmtId="0" fontId="0" fillId="0" borderId="32" xfId="0" applyBorder="1" applyAlignment="1" applyProtection="1">
      <alignment horizontal="center" vertical="center" wrapText="1"/>
    </xf>
    <xf numFmtId="0" fontId="28" fillId="0" borderId="0" xfId="31" applyFont="1" applyBorder="1" applyAlignment="1" applyProtection="1">
      <alignment horizontal="center"/>
    </xf>
    <xf numFmtId="0" fontId="17" fillId="0" borderId="0" xfId="0" applyFont="1" applyBorder="1" applyAlignment="1" applyProtection="1">
      <alignment horizontal="center"/>
    </xf>
    <xf numFmtId="0" fontId="21" fillId="0" borderId="0" xfId="0" applyFont="1" applyAlignment="1" applyProtection="1">
      <alignment horizontal="center"/>
    </xf>
    <xf numFmtId="0" fontId="21" fillId="0" borderId="0" xfId="0" applyFont="1" applyAlignment="1" applyProtection="1">
      <alignment horizontal="center" vertical="center" wrapText="1"/>
    </xf>
    <xf numFmtId="0" fontId="29" fillId="0" borderId="0" xfId="0" applyFont="1" applyAlignment="1" applyProtection="1">
      <alignment horizontal="center"/>
    </xf>
    <xf numFmtId="0" fontId="11" fillId="0" borderId="1" xfId="0" applyFont="1" applyBorder="1" applyAlignment="1" applyProtection="1">
      <alignment horizontal="center"/>
    </xf>
    <xf numFmtId="0" fontId="11" fillId="0" borderId="2" xfId="0" applyFont="1" applyBorder="1" applyAlignment="1" applyProtection="1">
      <alignment horizontal="center"/>
    </xf>
    <xf numFmtId="0" fontId="11" fillId="0" borderId="3" xfId="0" applyFont="1" applyBorder="1" applyAlignment="1" applyProtection="1">
      <alignment horizontal="center"/>
    </xf>
    <xf numFmtId="0" fontId="0" fillId="0" borderId="34" xfId="0" applyBorder="1" applyAlignment="1" applyProtection="1">
      <alignment horizontal="center" vertical="center" wrapText="1"/>
    </xf>
    <xf numFmtId="0" fontId="0" fillId="0" borderId="35" xfId="0" applyBorder="1" applyAlignment="1" applyProtection="1">
      <alignment horizontal="center" vertical="center" wrapText="1"/>
    </xf>
    <xf numFmtId="0" fontId="17" fillId="0" borderId="36" xfId="0" applyFont="1" applyBorder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0" fillId="0" borderId="37" xfId="0" applyBorder="1" applyAlignment="1" applyProtection="1">
      <alignment horizontal="center" vertical="center" wrapText="1"/>
    </xf>
    <xf numFmtId="0" fontId="14" fillId="0" borderId="38" xfId="0" applyFont="1" applyBorder="1" applyAlignment="1" applyProtection="1">
      <alignment horizontal="center" vertical="center" textRotation="90"/>
    </xf>
    <xf numFmtId="0" fontId="14" fillId="0" borderId="39" xfId="0" applyFont="1" applyBorder="1" applyAlignment="1" applyProtection="1">
      <alignment horizontal="center" vertical="center" textRotation="90"/>
    </xf>
    <xf numFmtId="0" fontId="14" fillId="0" borderId="40" xfId="0" applyFont="1" applyBorder="1" applyAlignment="1" applyProtection="1">
      <alignment horizontal="center" vertical="center" textRotation="90"/>
    </xf>
    <xf numFmtId="0" fontId="32" fillId="0" borderId="38" xfId="0" applyFont="1" applyFill="1" applyBorder="1" applyAlignment="1" applyProtection="1">
      <alignment horizontal="center" vertical="center" textRotation="90"/>
    </xf>
    <xf numFmtId="0" fontId="32" fillId="0" borderId="39" xfId="0" applyFont="1" applyFill="1" applyBorder="1" applyAlignment="1" applyProtection="1">
      <alignment horizontal="center" vertical="center" textRotation="90"/>
    </xf>
    <xf numFmtId="0" fontId="32" fillId="0" borderId="40" xfId="0" applyFont="1" applyFill="1" applyBorder="1" applyAlignment="1" applyProtection="1">
      <alignment horizontal="center" vertical="center" textRotation="90"/>
    </xf>
    <xf numFmtId="165" fontId="13" fillId="0" borderId="17" xfId="0" quotePrefix="1" applyNumberFormat="1" applyFont="1" applyFill="1" applyBorder="1" applyAlignment="1" applyProtection="1">
      <alignment horizontal="center"/>
    </xf>
    <xf numFmtId="165" fontId="13" fillId="0" borderId="41" xfId="0" quotePrefix="1" applyNumberFormat="1" applyFont="1" applyFill="1" applyBorder="1" applyAlignment="1" applyProtection="1">
      <alignment horizontal="center"/>
    </xf>
    <xf numFmtId="165" fontId="13" fillId="0" borderId="42" xfId="0" quotePrefix="1" applyNumberFormat="1" applyFont="1" applyFill="1" applyBorder="1" applyAlignment="1" applyProtection="1">
      <alignment horizontal="center"/>
    </xf>
    <xf numFmtId="0" fontId="11" fillId="0" borderId="53" xfId="0" applyFont="1" applyBorder="1" applyAlignment="1" applyProtection="1">
      <alignment horizontal="center" vertical="center"/>
    </xf>
    <xf numFmtId="0" fontId="11" fillId="0" borderId="54" xfId="0" applyFont="1" applyBorder="1" applyAlignment="1" applyProtection="1">
      <alignment horizontal="center" vertical="center"/>
    </xf>
    <xf numFmtId="0" fontId="11" fillId="0" borderId="55" xfId="0" applyFont="1" applyBorder="1" applyAlignment="1" applyProtection="1">
      <alignment horizontal="center" vertical="center"/>
    </xf>
    <xf numFmtId="0" fontId="10" fillId="0" borderId="5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169" fontId="10" fillId="0" borderId="9" xfId="0" applyNumberFormat="1" applyFont="1" applyBorder="1" applyAlignment="1" applyProtection="1">
      <alignment horizontal="center" vertical="center"/>
    </xf>
    <xf numFmtId="166" fontId="10" fillId="0" borderId="10" xfId="0" applyNumberFormat="1" applyFont="1" applyBorder="1" applyAlignment="1" applyProtection="1">
      <alignment horizontal="center" vertical="center"/>
    </xf>
    <xf numFmtId="10" fontId="10" fillId="0" borderId="5" xfId="0" applyNumberFormat="1" applyFont="1" applyBorder="1" applyAlignment="1">
      <alignment vertic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Lien hypertexte" xfId="31" builtinId="8"/>
    <cellStyle name="Milliers" xfId="32" builtinId="3"/>
    <cellStyle name="Neutre" xfId="33" builtinId="28" customBuiltin="1"/>
    <cellStyle name="Normal" xfId="0" builtinId="0"/>
    <cellStyle name="Satisfaisant" xfId="34" builtinId="26" customBuiltin="1"/>
    <cellStyle name="Sortie" xfId="35" builtinId="21" customBuiltin="1"/>
    <cellStyle name="Texte explicatif" xfId="36" builtinId="53" customBuiltin="1"/>
    <cellStyle name="Titre" xfId="37" builtinId="15" customBuiltin="1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18"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  <dxf>
      <fill>
        <patternFill>
          <fgColor indexed="64"/>
          <bgColor rgb="FFFFFF0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103423380984807"/>
          <c:y val="8.7603517893331179E-2"/>
          <c:w val="0.85076490561485463"/>
          <c:h val="0.77024979883570965"/>
        </c:manualLayout>
      </c:layout>
      <c:scatterChart>
        <c:scatterStyle val="lineMarker"/>
        <c:ser>
          <c:idx val="0"/>
          <c:order val="0"/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EH!$S$27:$S$31</c:f>
              <c:numCache>
                <c:formatCode>0.000</c:formatCode>
                <c:ptCount val="5"/>
                <c:pt idx="0">
                  <c:v>2.1080000000000001</c:v>
                </c:pt>
                <c:pt idx="1">
                  <c:v>2.1080000000000001</c:v>
                </c:pt>
                <c:pt idx="2">
                  <c:v>2.21</c:v>
                </c:pt>
                <c:pt idx="3">
                  <c:v>2.3620000000000001</c:v>
                </c:pt>
                <c:pt idx="4">
                  <c:v>2.3620000000000001</c:v>
                </c:pt>
              </c:numCache>
            </c:numRef>
          </c:xVal>
          <c:yVal>
            <c:numRef>
              <c:f>EH!$T$27:$T$31</c:f>
              <c:numCache>
                <c:formatCode>#,##0_"\K\g</c:formatCode>
                <c:ptCount val="5"/>
                <c:pt idx="0">
                  <c:v>600</c:v>
                </c:pt>
                <c:pt idx="1">
                  <c:v>885</c:v>
                </c:pt>
                <c:pt idx="2">
                  <c:v>1055</c:v>
                </c:pt>
                <c:pt idx="3">
                  <c:v>1055</c:v>
                </c:pt>
                <c:pt idx="4">
                  <c:v>600</c:v>
                </c:pt>
              </c:numCache>
            </c:numRef>
          </c:yVal>
        </c:ser>
        <c:ser>
          <c:idx val="6"/>
          <c:order val="1"/>
          <c:spPr>
            <a:ln w="3175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EH!$S$32:$S$33</c:f>
              <c:numCache>
                <c:formatCode>#,##0.000</c:formatCode>
                <c:ptCount val="2"/>
                <c:pt idx="0">
                  <c:v>2.2316985781990519</c:v>
                </c:pt>
                <c:pt idx="1">
                  <c:v>2.2255757201028326</c:v>
                </c:pt>
              </c:numCache>
            </c:numRef>
          </c:xVal>
          <c:yVal>
            <c:numRef>
              <c:f>EH!$T$32:$T$33</c:f>
              <c:numCache>
                <c:formatCode>#,##0_"\K\g</c:formatCode>
                <c:ptCount val="2"/>
                <c:pt idx="0">
                  <c:v>1055</c:v>
                </c:pt>
                <c:pt idx="1">
                  <c:v>1020.5348</c:v>
                </c:pt>
              </c:numCache>
            </c:numRef>
          </c:yVal>
        </c:ser>
        <c:ser>
          <c:idx val="1"/>
          <c:order val="2"/>
          <c:spPr>
            <a:ln w="3175">
              <a:solidFill>
                <a:srgbClr val="FF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EH!$S$26</c:f>
              <c:numCache>
                <c:formatCode>#,##0.000</c:formatCode>
                <c:ptCount val="1"/>
                <c:pt idx="0">
                  <c:v>2.165</c:v>
                </c:pt>
              </c:numCache>
            </c:numRef>
          </c:xVal>
          <c:yVal>
            <c:numRef>
              <c:f>EH!$T$26</c:f>
              <c:numCache>
                <c:formatCode>#,##0_"\K\g</c:formatCode>
                <c:ptCount val="1"/>
                <c:pt idx="0">
                  <c:v>725</c:v>
                </c:pt>
              </c:numCache>
            </c:numRef>
          </c:yVal>
        </c:ser>
        <c:axId val="153010944"/>
        <c:axId val="153012864"/>
      </c:scatterChart>
      <c:valAx>
        <c:axId val="153010944"/>
        <c:scaling>
          <c:orientation val="minMax"/>
          <c:max val="2.4"/>
          <c:min val="2.0499999999999998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(m)</a:t>
                </a:r>
              </a:p>
            </c:rich>
          </c:tx>
          <c:layout>
            <c:manualLayout>
              <c:xMode val="edge"/>
              <c:yMode val="edge"/>
              <c:x val="0.47238608176922275"/>
              <c:y val="0.914051837270344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3012864"/>
        <c:crossesAt val="600"/>
        <c:crossBetween val="midCat"/>
      </c:valAx>
      <c:valAx>
        <c:axId val="153012864"/>
        <c:scaling>
          <c:orientation val="minMax"/>
          <c:max val="1200"/>
          <c:min val="6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3.7602868336256791E-2"/>
              <c:y val="0.41652996500437706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3010944"/>
        <c:crossesAt val="2.0499999999999998"/>
        <c:crossBetween val="midCat"/>
        <c:majorUnit val="10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000000000000266" l="0.70000000000000062" r="0.70000000000000062" t="0.75000000000000266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8591704678781963E-2"/>
          <c:y val="9.0121336223812548E-2"/>
          <c:w val="0.86032999439937496"/>
          <c:h val="0.71577138193143208"/>
        </c:manualLayout>
      </c:layout>
      <c:scatterChart>
        <c:scatterStyle val="lineMarker"/>
        <c:ser>
          <c:idx val="0"/>
          <c:order val="0"/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AM!$S$26:$S$31</c:f>
              <c:numCache>
                <c:formatCode>0.000</c:formatCode>
                <c:ptCount val="6"/>
                <c:pt idx="0">
                  <c:v>427</c:v>
                </c:pt>
                <c:pt idx="1">
                  <c:v>420</c:v>
                </c:pt>
                <c:pt idx="2">
                  <c:v>420</c:v>
                </c:pt>
                <c:pt idx="3">
                  <c:v>525</c:v>
                </c:pt>
                <c:pt idx="4">
                  <c:v>525</c:v>
                </c:pt>
                <c:pt idx="5">
                  <c:v>442.5</c:v>
                </c:pt>
              </c:numCache>
            </c:numRef>
          </c:xVal>
          <c:yVal>
            <c:numRef>
              <c:f>AM!$T$26:$T$31</c:f>
              <c:numCache>
                <c:formatCode>#,##0_"\K\g</c:formatCode>
                <c:ptCount val="6"/>
                <c:pt idx="0">
                  <c:v>387</c:v>
                </c:pt>
                <c:pt idx="1">
                  <c:v>387</c:v>
                </c:pt>
                <c:pt idx="2">
                  <c:v>600</c:v>
                </c:pt>
                <c:pt idx="3">
                  <c:v>600</c:v>
                </c:pt>
                <c:pt idx="4">
                  <c:v>387</c:v>
                </c:pt>
                <c:pt idx="5">
                  <c:v>387</c:v>
                </c:pt>
              </c:numCache>
            </c:numRef>
          </c:yVal>
        </c:ser>
        <c:ser>
          <c:idx val="6"/>
          <c:order val="1"/>
          <c:spPr>
            <a:ln w="3175">
              <a:solidFill>
                <a:srgbClr val="3366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AM!$S$32:$S$33</c:f>
              <c:numCache>
                <c:formatCode>#,##0.000</c:formatCode>
                <c:ptCount val="2"/>
                <c:pt idx="0">
                  <c:v>497.00629627898587</c:v>
                </c:pt>
                <c:pt idx="1">
                  <c:v>516.73543930324263</c:v>
                </c:pt>
              </c:numCache>
            </c:numRef>
          </c:xVal>
          <c:yVal>
            <c:numRef>
              <c:f>AM!$T$32:$T$33</c:f>
              <c:numCache>
                <c:formatCode>#,##0_"\K\g</c:formatCode>
                <c:ptCount val="2"/>
                <c:pt idx="0">
                  <c:v>599.08400000000006</c:v>
                </c:pt>
                <c:pt idx="1">
                  <c:v>563.98400000000004</c:v>
                </c:pt>
              </c:numCache>
            </c:numRef>
          </c:yVal>
        </c:ser>
        <c:ser>
          <c:idx val="1"/>
          <c:order val="2"/>
          <c:spPr>
            <a:ln w="3175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AM!$S$25</c:f>
              <c:numCache>
                <c:formatCode>#,##0.000</c:formatCode>
                <c:ptCount val="1"/>
                <c:pt idx="0">
                  <c:v>429.74999999999994</c:v>
                </c:pt>
              </c:numCache>
            </c:numRef>
          </c:xVal>
          <c:yVal>
            <c:numRef>
              <c:f>AM!$T$25</c:f>
              <c:numCache>
                <c:formatCode>#,##0_"\K\g</c:formatCode>
                <c:ptCount val="1"/>
                <c:pt idx="0">
                  <c:v>386.1</c:v>
                </c:pt>
              </c:numCache>
            </c:numRef>
          </c:yVal>
        </c:ser>
        <c:axId val="155741184"/>
        <c:axId val="155780224"/>
      </c:scatterChart>
      <c:valAx>
        <c:axId val="155741184"/>
        <c:scaling>
          <c:orientation val="minMax"/>
          <c:min val="415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(mm)</a:t>
                </a:r>
              </a:p>
            </c:rich>
          </c:tx>
          <c:layout>
            <c:manualLayout>
              <c:xMode val="edge"/>
              <c:yMode val="edge"/>
              <c:x val="0.46831067272320825"/>
              <c:y val="0.90467964463625761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780224"/>
        <c:crossesAt val="370"/>
        <c:crossBetween val="midCat"/>
      </c:valAx>
      <c:valAx>
        <c:axId val="155780224"/>
        <c:scaling>
          <c:orientation val="minMax"/>
          <c:max val="630"/>
          <c:min val="37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3.7558669514988395E-2"/>
              <c:y val="0.40554601593168232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741184"/>
        <c:crossesAt val="415"/>
        <c:crossBetween val="midCat"/>
        <c:majorUnit val="2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000000000000266" l="0.70000000000000062" r="0.70000000000000062" t="0.75000000000000266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8591704678781963E-2"/>
          <c:y val="9.0121336223812548E-2"/>
          <c:w val="0.86032999439937541"/>
          <c:h val="0.71577138193143208"/>
        </c:manualLayout>
      </c:layout>
      <c:scatterChart>
        <c:scatterStyle val="lineMarker"/>
        <c:ser>
          <c:idx val="0"/>
          <c:order val="0"/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EP!$S$26:$S$33</c:f>
              <c:numCache>
                <c:formatCode>0.000</c:formatCode>
                <c:ptCount val="8"/>
                <c:pt idx="0">
                  <c:v>250</c:v>
                </c:pt>
                <c:pt idx="1">
                  <c:v>312.5</c:v>
                </c:pt>
                <c:pt idx="2">
                  <c:v>361.25</c:v>
                </c:pt>
                <c:pt idx="3">
                  <c:v>400</c:v>
                </c:pt>
                <c:pt idx="4">
                  <c:v>400</c:v>
                </c:pt>
                <c:pt idx="5">
                  <c:v>373.75</c:v>
                </c:pt>
                <c:pt idx="6">
                  <c:v>332.875</c:v>
                </c:pt>
                <c:pt idx="7">
                  <c:v>250</c:v>
                </c:pt>
              </c:numCache>
            </c:numRef>
          </c:xVal>
          <c:yVal>
            <c:numRef>
              <c:f>EP!$T$26:$T$33</c:f>
              <c:numCache>
                <c:formatCode>#,##0_"\K\g</c:formatCode>
                <c:ptCount val="8"/>
                <c:pt idx="0">
                  <c:v>373</c:v>
                </c:pt>
                <c:pt idx="1">
                  <c:v>373</c:v>
                </c:pt>
                <c:pt idx="2">
                  <c:v>398</c:v>
                </c:pt>
                <c:pt idx="3">
                  <c:v>456</c:v>
                </c:pt>
                <c:pt idx="4">
                  <c:v>600</c:v>
                </c:pt>
                <c:pt idx="5">
                  <c:v>600</c:v>
                </c:pt>
                <c:pt idx="6">
                  <c:v>525</c:v>
                </c:pt>
                <c:pt idx="7">
                  <c:v>373</c:v>
                </c:pt>
              </c:numCache>
            </c:numRef>
          </c:yVal>
        </c:ser>
        <c:ser>
          <c:idx val="6"/>
          <c:order val="1"/>
          <c:spPr>
            <a:ln w="3175">
              <a:solidFill>
                <a:srgbClr val="3366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EP!$S$34:$S$35</c:f>
              <c:numCache>
                <c:formatCode>#,##0.000</c:formatCode>
                <c:ptCount val="2"/>
                <c:pt idx="0">
                  <c:v>379.74637681159419</c:v>
                </c:pt>
                <c:pt idx="1">
                  <c:v>363.21865443425071</c:v>
                </c:pt>
              </c:numCache>
            </c:numRef>
          </c:xVal>
          <c:yVal>
            <c:numRef>
              <c:f>EP!$T$34:$T$35</c:f>
              <c:numCache>
                <c:formatCode>#,##0_"\K\g</c:formatCode>
                <c:ptCount val="2"/>
                <c:pt idx="0">
                  <c:v>552</c:v>
                </c:pt>
                <c:pt idx="1">
                  <c:v>523.20000000000005</c:v>
                </c:pt>
              </c:numCache>
            </c:numRef>
          </c:yVal>
        </c:ser>
        <c:ser>
          <c:idx val="1"/>
          <c:order val="2"/>
          <c:spPr>
            <a:ln w="3175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EP!$S$25</c:f>
              <c:numCache>
                <c:formatCode>#,##0.000</c:formatCode>
                <c:ptCount val="1"/>
                <c:pt idx="0">
                  <c:v>260</c:v>
                </c:pt>
              </c:numCache>
            </c:numRef>
          </c:xVal>
          <c:yVal>
            <c:numRef>
              <c:f>EP!$T$25</c:f>
              <c:numCache>
                <c:formatCode>#,##0_"\K\g</c:formatCode>
                <c:ptCount val="1"/>
                <c:pt idx="0">
                  <c:v>356</c:v>
                </c:pt>
              </c:numCache>
            </c:numRef>
          </c:yVal>
        </c:ser>
        <c:axId val="155983232"/>
        <c:axId val="155993600"/>
      </c:scatterChart>
      <c:valAx>
        <c:axId val="155983232"/>
        <c:scaling>
          <c:orientation val="minMax"/>
          <c:min val="24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(mm)</a:t>
                </a:r>
              </a:p>
            </c:rich>
          </c:tx>
          <c:layout>
            <c:manualLayout>
              <c:xMode val="edge"/>
              <c:yMode val="edge"/>
              <c:x val="0.46831067272320842"/>
              <c:y val="0.90467964463625761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993600"/>
        <c:crossesAt val="350"/>
        <c:crossBetween val="midCat"/>
      </c:valAx>
      <c:valAx>
        <c:axId val="155993600"/>
        <c:scaling>
          <c:orientation val="minMax"/>
          <c:max val="630"/>
          <c:min val="3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1.9725191621006249E-2"/>
              <c:y val="0.39981805951041688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983232"/>
        <c:crossesAt val="240"/>
        <c:crossBetween val="midCat"/>
        <c:majorUnit val="2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000000000000289" l="0.70000000000000062" r="0.70000000000000062" t="0.75000000000000289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8591704678781963E-2"/>
          <c:y val="9.0121336223812548E-2"/>
          <c:w val="0.86032999439937574"/>
          <c:h val="0.71577138193143208"/>
        </c:manualLayout>
      </c:layout>
      <c:scatterChart>
        <c:scatterStyle val="lineMarker"/>
        <c:ser>
          <c:idx val="0"/>
          <c:order val="0"/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KM!$S$26:$S$33</c:f>
              <c:numCache>
                <c:formatCode>0.000</c:formatCode>
                <c:ptCount val="8"/>
                <c:pt idx="0">
                  <c:v>250</c:v>
                </c:pt>
                <c:pt idx="1">
                  <c:v>312.5</c:v>
                </c:pt>
                <c:pt idx="2">
                  <c:v>361.25</c:v>
                </c:pt>
                <c:pt idx="3">
                  <c:v>400</c:v>
                </c:pt>
                <c:pt idx="4">
                  <c:v>400</c:v>
                </c:pt>
                <c:pt idx="5">
                  <c:v>373.75</c:v>
                </c:pt>
                <c:pt idx="6">
                  <c:v>332.875</c:v>
                </c:pt>
                <c:pt idx="7">
                  <c:v>250</c:v>
                </c:pt>
              </c:numCache>
            </c:numRef>
          </c:xVal>
          <c:yVal>
            <c:numRef>
              <c:f>KM!$T$26:$T$33</c:f>
              <c:numCache>
                <c:formatCode>#,##0_"\K\g</c:formatCode>
                <c:ptCount val="8"/>
                <c:pt idx="0">
                  <c:v>373</c:v>
                </c:pt>
                <c:pt idx="1">
                  <c:v>373</c:v>
                </c:pt>
                <c:pt idx="2">
                  <c:v>398</c:v>
                </c:pt>
                <c:pt idx="3">
                  <c:v>456</c:v>
                </c:pt>
                <c:pt idx="4">
                  <c:v>600</c:v>
                </c:pt>
                <c:pt idx="5">
                  <c:v>600</c:v>
                </c:pt>
                <c:pt idx="6">
                  <c:v>525</c:v>
                </c:pt>
                <c:pt idx="7">
                  <c:v>373</c:v>
                </c:pt>
              </c:numCache>
            </c:numRef>
          </c:yVal>
        </c:ser>
        <c:ser>
          <c:idx val="6"/>
          <c:order val="1"/>
          <c:spPr>
            <a:ln w="3175">
              <a:solidFill>
                <a:srgbClr val="3366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KM!$S$34:$S$35</c:f>
              <c:numCache>
                <c:formatCode>#,##0.000</c:formatCode>
                <c:ptCount val="2"/>
                <c:pt idx="0">
                  <c:v>376.29227477884098</c:v>
                </c:pt>
                <c:pt idx="1">
                  <c:v>359.6349095410398</c:v>
                </c:pt>
              </c:numCache>
            </c:numRef>
          </c:xVal>
          <c:yVal>
            <c:numRef>
              <c:f>KM!$T$34:$T$35</c:f>
              <c:numCache>
                <c:formatCode>#,##0_"\K\g</c:formatCode>
                <c:ptCount val="2"/>
                <c:pt idx="0">
                  <c:v>553.9</c:v>
                </c:pt>
                <c:pt idx="1">
                  <c:v>525.1</c:v>
                </c:pt>
              </c:numCache>
            </c:numRef>
          </c:yVal>
        </c:ser>
        <c:ser>
          <c:idx val="1"/>
          <c:order val="2"/>
          <c:spPr>
            <a:ln w="3175">
              <a:solidFill>
                <a:srgbClr val="FF00FF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KM!$S$25</c:f>
              <c:numCache>
                <c:formatCode>#,##0.000</c:formatCode>
                <c:ptCount val="1"/>
                <c:pt idx="0">
                  <c:v>255.29</c:v>
                </c:pt>
              </c:numCache>
            </c:numRef>
          </c:xVal>
          <c:yVal>
            <c:numRef>
              <c:f>KM!$T$25</c:f>
              <c:numCache>
                <c:formatCode>#,##0_"\K\g</c:formatCode>
                <c:ptCount val="1"/>
                <c:pt idx="0">
                  <c:v>357.9</c:v>
                </c:pt>
              </c:numCache>
            </c:numRef>
          </c:yVal>
        </c:ser>
        <c:axId val="155959296"/>
        <c:axId val="155961216"/>
      </c:scatterChart>
      <c:valAx>
        <c:axId val="155959296"/>
        <c:scaling>
          <c:orientation val="minMax"/>
          <c:min val="24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(mm)</a:t>
                </a:r>
              </a:p>
            </c:rich>
          </c:tx>
          <c:layout>
            <c:manualLayout>
              <c:xMode val="edge"/>
              <c:yMode val="edge"/>
              <c:x val="0.46831067272320853"/>
              <c:y val="0.90467964463625761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961216"/>
        <c:crossesAt val="350"/>
        <c:crossBetween val="midCat"/>
      </c:valAx>
      <c:valAx>
        <c:axId val="155961216"/>
        <c:scaling>
          <c:orientation val="minMax"/>
          <c:max val="630"/>
          <c:min val="3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1.9725191621006256E-2"/>
              <c:y val="0.39981805951041705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959296"/>
        <c:crossesAt val="240"/>
        <c:crossBetween val="midCat"/>
        <c:majorUnit val="2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000000000000311" l="0.70000000000000062" r="0.70000000000000062" t="0.7500000000000031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220932345848783"/>
          <c:y val="8.7301621133130683E-2"/>
          <c:w val="0.84958981596621508"/>
          <c:h val="0.77777807918607889"/>
        </c:manualLayout>
      </c:layout>
      <c:scatterChart>
        <c:scatterStyle val="lineMarker"/>
        <c:ser>
          <c:idx val="0"/>
          <c:order val="0"/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AS!$S$33:$S$37</c:f>
              <c:numCache>
                <c:formatCode>0.000</c:formatCode>
                <c:ptCount val="5"/>
                <c:pt idx="0">
                  <c:v>0.89</c:v>
                </c:pt>
                <c:pt idx="1">
                  <c:v>0.89</c:v>
                </c:pt>
                <c:pt idx="2">
                  <c:v>1.016</c:v>
                </c:pt>
                <c:pt idx="3">
                  <c:v>1.2010000000000001</c:v>
                </c:pt>
                <c:pt idx="4">
                  <c:v>1.2010000000000001</c:v>
                </c:pt>
              </c:numCache>
            </c:numRef>
          </c:xVal>
          <c:yVal>
            <c:numRef>
              <c:f>AS!$T$33:$T$37</c:f>
              <c:numCache>
                <c:formatCode>#,##0_"\K\g</c:formatCode>
                <c:ptCount val="5"/>
                <c:pt idx="0">
                  <c:v>600</c:v>
                </c:pt>
                <c:pt idx="1">
                  <c:v>885</c:v>
                </c:pt>
                <c:pt idx="2">
                  <c:v>1157</c:v>
                </c:pt>
                <c:pt idx="3">
                  <c:v>1157</c:v>
                </c:pt>
                <c:pt idx="4">
                  <c:v>600</c:v>
                </c:pt>
              </c:numCache>
            </c:numRef>
          </c:yVal>
        </c:ser>
        <c:ser>
          <c:idx val="6"/>
          <c:order val="1"/>
          <c:spPr>
            <a:ln w="3175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AS!$S$38:$S$39</c:f>
              <c:numCache>
                <c:formatCode>#,##0.000</c:formatCode>
                <c:ptCount val="2"/>
                <c:pt idx="0">
                  <c:v>1.1348600607643811</c:v>
                </c:pt>
                <c:pt idx="1">
                  <c:v>1.130285971831313</c:v>
                </c:pt>
              </c:numCache>
            </c:numRef>
          </c:xVal>
          <c:yVal>
            <c:numRef>
              <c:f>AS!$T$38:$T$39</c:f>
              <c:numCache>
                <c:formatCode>#,##0_"\K\g</c:formatCode>
                <c:ptCount val="2"/>
                <c:pt idx="0">
                  <c:v>1156.9935999999998</c:v>
                </c:pt>
                <c:pt idx="1">
                  <c:v>1102.2735999999998</c:v>
                </c:pt>
              </c:numCache>
            </c:numRef>
          </c:yVal>
        </c:ser>
        <c:ser>
          <c:idx val="1"/>
          <c:order val="2"/>
          <c:spPr>
            <a:ln w="3175">
              <a:solidFill>
                <a:srgbClr val="FF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AS!$S$27</c:f>
              <c:numCache>
                <c:formatCode>#,##0.000</c:formatCode>
                <c:ptCount val="1"/>
                <c:pt idx="0">
                  <c:v>0.99299999999999999</c:v>
                </c:pt>
              </c:numCache>
            </c:numRef>
          </c:xVal>
          <c:yVal>
            <c:numRef>
              <c:f>AS!$T$27</c:f>
              <c:numCache>
                <c:formatCode>#,##0_"\K\g</c:formatCode>
                <c:ptCount val="1"/>
                <c:pt idx="0">
                  <c:v>772.16</c:v>
                </c:pt>
              </c:numCache>
            </c:numRef>
          </c:yVal>
        </c:ser>
        <c:ser>
          <c:idx val="2"/>
          <c:order val="3"/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AS!$S$28:$S$32</c:f>
              <c:numCache>
                <c:formatCode>0.000</c:formatCode>
                <c:ptCount val="5"/>
                <c:pt idx="0">
                  <c:v>0.89</c:v>
                </c:pt>
                <c:pt idx="1">
                  <c:v>0.89</c:v>
                </c:pt>
                <c:pt idx="2">
                  <c:v>0.94299999999999995</c:v>
                </c:pt>
                <c:pt idx="3">
                  <c:v>1.028</c:v>
                </c:pt>
                <c:pt idx="4">
                  <c:v>1.028</c:v>
                </c:pt>
              </c:numCache>
            </c:numRef>
          </c:xVal>
          <c:yVal>
            <c:numRef>
              <c:f>AS!$T$28:$T$32</c:f>
              <c:numCache>
                <c:formatCode>#,##0_"\K\g</c:formatCode>
                <c:ptCount val="5"/>
                <c:pt idx="0">
                  <c:v>600</c:v>
                </c:pt>
                <c:pt idx="1">
                  <c:v>885</c:v>
                </c:pt>
                <c:pt idx="2">
                  <c:v>998</c:v>
                </c:pt>
                <c:pt idx="3">
                  <c:v>998</c:v>
                </c:pt>
                <c:pt idx="4">
                  <c:v>600</c:v>
                </c:pt>
              </c:numCache>
            </c:numRef>
          </c:yVal>
        </c:ser>
        <c:axId val="154773376"/>
        <c:axId val="154783744"/>
      </c:scatterChart>
      <c:valAx>
        <c:axId val="154773376"/>
        <c:scaling>
          <c:orientation val="minMax"/>
          <c:max val="1.25"/>
          <c:min val="0.85000000000000064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(m)</a:t>
                </a:r>
              </a:p>
            </c:rich>
          </c:tx>
          <c:layout>
            <c:manualLayout>
              <c:xMode val="edge"/>
              <c:yMode val="edge"/>
              <c:x val="0.47356107964423982"/>
              <c:y val="0.91904797900262458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4783744"/>
        <c:crossesAt val="600"/>
        <c:crossBetween val="midCat"/>
      </c:valAx>
      <c:valAx>
        <c:axId val="154783744"/>
        <c:scaling>
          <c:orientation val="minMax"/>
          <c:max val="1300"/>
          <c:min val="6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4.1128016505296967E-2"/>
              <c:y val="0.42222236220472636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4773376"/>
        <c:crossesAt val="0.85000000000000064"/>
        <c:crossBetween val="midCat"/>
        <c:majorUnit val="5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000000000000266" l="0.70000000000000062" r="0.70000000000000062" t="0.75000000000000266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280860626937295"/>
          <c:y val="8.8815842969299105E-2"/>
          <c:w val="0.85899053315533302"/>
          <c:h val="0.76809256790115032"/>
        </c:manualLayout>
      </c:layout>
      <c:scatterChart>
        <c:scatterStyle val="lineMarker"/>
        <c:ser>
          <c:idx val="0"/>
          <c:order val="0"/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AR!$S$27:$S$31</c:f>
              <c:numCache>
                <c:formatCode>0.000</c:formatCode>
                <c:ptCount val="5"/>
                <c:pt idx="0">
                  <c:v>0.20100000000000001</c:v>
                </c:pt>
                <c:pt idx="1">
                  <c:v>0.20100000000000001</c:v>
                </c:pt>
                <c:pt idx="2">
                  <c:v>0.33500000000000002</c:v>
                </c:pt>
                <c:pt idx="3">
                  <c:v>0.436</c:v>
                </c:pt>
                <c:pt idx="4">
                  <c:v>0.436</c:v>
                </c:pt>
              </c:numCache>
            </c:numRef>
          </c:xVal>
          <c:yVal>
            <c:numRef>
              <c:f>AR!$T$27:$T$31</c:f>
              <c:numCache>
                <c:formatCode>#,##0_"\K\g</c:formatCode>
                <c:ptCount val="5"/>
                <c:pt idx="0">
                  <c:v>650</c:v>
                </c:pt>
                <c:pt idx="1">
                  <c:v>940</c:v>
                </c:pt>
                <c:pt idx="2">
                  <c:v>1150</c:v>
                </c:pt>
                <c:pt idx="3">
                  <c:v>1150</c:v>
                </c:pt>
                <c:pt idx="4">
                  <c:v>650</c:v>
                </c:pt>
              </c:numCache>
            </c:numRef>
          </c:yVal>
        </c:ser>
        <c:ser>
          <c:idx val="6"/>
          <c:order val="1"/>
          <c:spPr>
            <a:ln w="3175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AR!$S$32:$S$33</c:f>
              <c:numCache>
                <c:formatCode>#,##0.000</c:formatCode>
                <c:ptCount val="2"/>
                <c:pt idx="0">
                  <c:v>0.37884971353018954</c:v>
                </c:pt>
                <c:pt idx="1">
                  <c:v>0.37934068915619062</c:v>
                </c:pt>
              </c:numCache>
            </c:numRef>
          </c:xVal>
          <c:yVal>
            <c:numRef>
              <c:f>AR!$T$32:$T$33</c:f>
              <c:numCache>
                <c:formatCode>#,##0_"\K\g</c:formatCode>
                <c:ptCount val="2"/>
                <c:pt idx="0">
                  <c:v>1134.5</c:v>
                </c:pt>
                <c:pt idx="1">
                  <c:v>1105.7</c:v>
                </c:pt>
              </c:numCache>
            </c:numRef>
          </c:yVal>
        </c:ser>
        <c:ser>
          <c:idx val="1"/>
          <c:order val="2"/>
          <c:spPr>
            <a:ln w="3175">
              <a:solidFill>
                <a:srgbClr val="FF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AR!$S$26</c:f>
              <c:numCache>
                <c:formatCode>#,##0.000</c:formatCode>
                <c:ptCount val="1"/>
                <c:pt idx="0">
                  <c:v>0.26300000000000001</c:v>
                </c:pt>
              </c:numCache>
            </c:numRef>
          </c:xVal>
          <c:yVal>
            <c:numRef>
              <c:f>AR!$T$26</c:f>
              <c:numCache>
                <c:formatCode>#,##0_"\K\g</c:formatCode>
                <c:ptCount val="1"/>
                <c:pt idx="0">
                  <c:v>708.5</c:v>
                </c:pt>
              </c:numCache>
            </c:numRef>
          </c:yVal>
        </c:ser>
        <c:axId val="154851584"/>
        <c:axId val="154935680"/>
      </c:scatterChart>
      <c:valAx>
        <c:axId val="154851584"/>
        <c:scaling>
          <c:orientation val="minMax"/>
          <c:max val="0.45"/>
          <c:min val="0.2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(m)</a:t>
                </a:r>
              </a:p>
            </c:rich>
          </c:tx>
          <c:layout>
            <c:manualLayout>
              <c:xMode val="edge"/>
              <c:yMode val="edge"/>
              <c:x val="0.46886077905619988"/>
              <c:y val="0.9128295270145208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4935680"/>
        <c:crossesAt val="582"/>
        <c:crossBetween val="midCat"/>
      </c:valAx>
      <c:valAx>
        <c:axId val="154935680"/>
        <c:scaling>
          <c:orientation val="minMax"/>
          <c:max val="1200"/>
          <c:min val="65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3.995301863027681E-2"/>
              <c:y val="0.4144738131799937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4851584"/>
        <c:crossesAt val="0.15000000000000024"/>
        <c:crossBetween val="midCat"/>
        <c:majorUnit val="5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000000000000289" l="0.70000000000000062" r="0.70000000000000062" t="0.75000000000000289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455950275576598"/>
          <c:y val="8.4919518445763495E-2"/>
          <c:w val="0.84723963666894109"/>
          <c:h val="0.78184522155237723"/>
        </c:manualLayout>
      </c:layout>
      <c:scatterChart>
        <c:scatterStyle val="lineMarker"/>
        <c:ser>
          <c:idx val="0"/>
          <c:order val="0"/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LL!$S$35:$S$39</c:f>
              <c:numCache>
                <c:formatCode>0.000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LL!$T$35:$T$39</c:f>
              <c:numCache>
                <c:formatCode>#,##0_"\K\g</c:formatCode>
                <c:ptCount val="5"/>
                <c:pt idx="0">
                  <c:v>582</c:v>
                </c:pt>
                <c:pt idx="1">
                  <c:v>750</c:v>
                </c:pt>
                <c:pt idx="2">
                  <c:v>1100</c:v>
                </c:pt>
                <c:pt idx="3">
                  <c:v>1100</c:v>
                </c:pt>
                <c:pt idx="4">
                  <c:v>582</c:v>
                </c:pt>
              </c:numCache>
            </c:numRef>
          </c:yVal>
        </c:ser>
        <c:ser>
          <c:idx val="6"/>
          <c:order val="1"/>
          <c:spPr>
            <a:ln w="3175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LL!$S$40:$S$41</c:f>
              <c:numCache>
                <c:formatCode>#,##0.000</c:formatCode>
                <c:ptCount val="2"/>
                <c:pt idx="0">
                  <c:v>0.41743204709267601</c:v>
                </c:pt>
                <c:pt idx="1">
                  <c:v>0.36731531725042688</c:v>
                </c:pt>
              </c:numCache>
            </c:numRef>
          </c:xVal>
          <c:yVal>
            <c:numRef>
              <c:f>LL!$T$40:$T$41</c:f>
              <c:numCache>
                <c:formatCode>#,##0_"\K\g</c:formatCode>
                <c:ptCount val="2"/>
                <c:pt idx="0">
                  <c:v>886.69998640000006</c:v>
                </c:pt>
                <c:pt idx="1">
                  <c:v>827.65998640000009</c:v>
                </c:pt>
              </c:numCache>
            </c:numRef>
          </c:yVal>
        </c:ser>
        <c:ser>
          <c:idx val="1"/>
          <c:order val="2"/>
          <c:spPr>
            <a:ln w="3175">
              <a:solidFill>
                <a:srgbClr val="FF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LL!$S$29</c:f>
              <c:numCache>
                <c:formatCode>#,##0.000</c:formatCode>
                <c:ptCount val="1"/>
                <c:pt idx="0">
                  <c:v>0.33800000000000002</c:v>
                </c:pt>
              </c:numCache>
            </c:numRef>
          </c:xVal>
          <c:yVal>
            <c:numRef>
              <c:f>LL!$T$29</c:f>
              <c:numCache>
                <c:formatCode>#,##0_"\K\g</c:formatCode>
                <c:ptCount val="1"/>
                <c:pt idx="0">
                  <c:v>640.70000000000005</c:v>
                </c:pt>
              </c:numCache>
            </c:numRef>
          </c:yVal>
        </c:ser>
        <c:ser>
          <c:idx val="2"/>
          <c:order val="3"/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LL!$S$30:$S$34</c:f>
              <c:numCache>
                <c:formatCode>0.000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LL!$T$30:$T$34</c:f>
              <c:numCache>
                <c:formatCode>#,##0_"\K\g</c:formatCode>
                <c:ptCount val="5"/>
                <c:pt idx="0">
                  <c:v>582</c:v>
                </c:pt>
                <c:pt idx="1">
                  <c:v>750</c:v>
                </c:pt>
                <c:pt idx="2">
                  <c:v>950</c:v>
                </c:pt>
                <c:pt idx="3">
                  <c:v>950</c:v>
                </c:pt>
                <c:pt idx="4">
                  <c:v>582</c:v>
                </c:pt>
              </c:numCache>
            </c:numRef>
          </c:yVal>
        </c:ser>
        <c:axId val="155089920"/>
        <c:axId val="155104384"/>
      </c:scatterChart>
      <c:valAx>
        <c:axId val="155089920"/>
        <c:scaling>
          <c:orientation val="minMax"/>
          <c:max val="0.58000000000000007"/>
          <c:min val="0.18000000000000024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(m)</a:t>
                </a:r>
              </a:p>
            </c:rich>
          </c:tx>
          <c:layout>
            <c:manualLayout>
              <c:xMode val="edge"/>
              <c:yMode val="edge"/>
              <c:x val="0.47356107964423982"/>
              <c:y val="0.9150811130158546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104384"/>
        <c:crossesAt val="610"/>
        <c:crossBetween val="midCat"/>
      </c:valAx>
      <c:valAx>
        <c:axId val="155104384"/>
        <c:scaling>
          <c:orientation val="minMax"/>
          <c:max val="1200"/>
          <c:min val="6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4.1128016505296967E-2"/>
              <c:y val="0.42313333527036062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089920"/>
        <c:crossesAt val="0.18000000000000024"/>
        <c:crossBetween val="midCat"/>
        <c:majorUnit val="5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000000000000266" l="0.70000000000000062" r="0.70000000000000062" t="0.75000000000000266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455950275576598"/>
          <c:y val="8.4919518445763495E-2"/>
          <c:w val="0.84723963666894153"/>
          <c:h val="0.78184522155237746"/>
        </c:manualLayout>
      </c:layout>
      <c:scatterChart>
        <c:scatterStyle val="lineMarker"/>
        <c:ser>
          <c:idx val="0"/>
          <c:order val="0"/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VA!$S$35:$S$39</c:f>
              <c:numCache>
                <c:formatCode>0.000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VA!$T$35:$T$39</c:f>
              <c:numCache>
                <c:formatCode>#,##0_"\K\g</c:formatCode>
                <c:ptCount val="5"/>
                <c:pt idx="0">
                  <c:v>582</c:v>
                </c:pt>
                <c:pt idx="1">
                  <c:v>750</c:v>
                </c:pt>
                <c:pt idx="2">
                  <c:v>1100</c:v>
                </c:pt>
                <c:pt idx="3">
                  <c:v>1100</c:v>
                </c:pt>
                <c:pt idx="4">
                  <c:v>582</c:v>
                </c:pt>
              </c:numCache>
            </c:numRef>
          </c:yVal>
        </c:ser>
        <c:ser>
          <c:idx val="6"/>
          <c:order val="1"/>
          <c:spPr>
            <a:ln w="3175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VA!$S$40:$S$41</c:f>
              <c:numCache>
                <c:formatCode>#,##0.000</c:formatCode>
                <c:ptCount val="2"/>
                <c:pt idx="0">
                  <c:v>0.54740368614325441</c:v>
                </c:pt>
                <c:pt idx="1">
                  <c:v>0.51461280416748667</c:v>
                </c:pt>
              </c:numCache>
            </c:numRef>
          </c:xVal>
          <c:yVal>
            <c:numRef>
              <c:f>VA!$T$40:$T$41</c:f>
              <c:numCache>
                <c:formatCode>#,##0_"\K\g</c:formatCode>
                <c:ptCount val="2"/>
                <c:pt idx="0">
                  <c:v>1089.9999600000001</c:v>
                </c:pt>
                <c:pt idx="1">
                  <c:v>1030.9599600000001</c:v>
                </c:pt>
              </c:numCache>
            </c:numRef>
          </c:yVal>
        </c:ser>
        <c:ser>
          <c:idx val="1"/>
          <c:order val="2"/>
          <c:spPr>
            <a:ln w="3175">
              <a:solidFill>
                <a:srgbClr val="FF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VA!$S$29</c:f>
              <c:numCache>
                <c:formatCode>#,##0.000</c:formatCode>
                <c:ptCount val="1"/>
                <c:pt idx="0">
                  <c:v>0.30099999999999999</c:v>
                </c:pt>
              </c:numCache>
            </c:numRef>
          </c:xVal>
          <c:yVal>
            <c:numRef>
              <c:f>VA!$T$29</c:f>
              <c:numCache>
                <c:formatCode>#,##0_"\K\g</c:formatCode>
                <c:ptCount val="1"/>
                <c:pt idx="0">
                  <c:v>630</c:v>
                </c:pt>
              </c:numCache>
            </c:numRef>
          </c:yVal>
        </c:ser>
        <c:ser>
          <c:idx val="2"/>
          <c:order val="3"/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VA!$S$30:$S$34</c:f>
              <c:numCache>
                <c:formatCode>0.000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VA!$T$30:$T$34</c:f>
              <c:numCache>
                <c:formatCode>#,##0_"\K\g</c:formatCode>
                <c:ptCount val="5"/>
                <c:pt idx="0">
                  <c:v>582</c:v>
                </c:pt>
                <c:pt idx="1">
                  <c:v>750</c:v>
                </c:pt>
                <c:pt idx="2">
                  <c:v>950</c:v>
                </c:pt>
                <c:pt idx="3">
                  <c:v>950</c:v>
                </c:pt>
                <c:pt idx="4">
                  <c:v>582</c:v>
                </c:pt>
              </c:numCache>
            </c:numRef>
          </c:yVal>
        </c:ser>
        <c:axId val="155197824"/>
        <c:axId val="155199744"/>
      </c:scatterChart>
      <c:valAx>
        <c:axId val="155197824"/>
        <c:scaling>
          <c:orientation val="minMax"/>
          <c:max val="0.58000000000000007"/>
          <c:min val="0.18000000000000024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(m)</a:t>
                </a:r>
              </a:p>
            </c:rich>
          </c:tx>
          <c:layout>
            <c:manualLayout>
              <c:xMode val="edge"/>
              <c:yMode val="edge"/>
              <c:x val="0.47356107964423982"/>
              <c:y val="0.9150811130158546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199744"/>
        <c:crossesAt val="610"/>
        <c:crossBetween val="midCat"/>
      </c:valAx>
      <c:valAx>
        <c:axId val="155199744"/>
        <c:scaling>
          <c:orientation val="minMax"/>
          <c:max val="1200"/>
          <c:min val="6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4.1128016505296967E-2"/>
              <c:y val="0.42313333527036062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197824"/>
        <c:crossesAt val="0.18000000000000024"/>
        <c:crossBetween val="midCat"/>
        <c:majorUnit val="5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000000000000289" l="0.70000000000000062" r="0.70000000000000062" t="0.75000000000000289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2455950275576598"/>
          <c:y val="8.4919518445763495E-2"/>
          <c:w val="0.84723963666894186"/>
          <c:h val="0.78184522155237779"/>
        </c:manualLayout>
      </c:layout>
      <c:scatterChart>
        <c:scatterStyle val="lineMarker"/>
        <c:ser>
          <c:idx val="0"/>
          <c:order val="0"/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VU!$S$35:$S$39</c:f>
              <c:numCache>
                <c:formatCode>0.000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VU!$T$35:$T$39</c:f>
              <c:numCache>
                <c:formatCode>#,##0_"\K\g</c:formatCode>
                <c:ptCount val="5"/>
                <c:pt idx="0">
                  <c:v>582</c:v>
                </c:pt>
                <c:pt idx="1">
                  <c:v>750</c:v>
                </c:pt>
                <c:pt idx="2">
                  <c:v>1000</c:v>
                </c:pt>
                <c:pt idx="3">
                  <c:v>1000</c:v>
                </c:pt>
                <c:pt idx="4">
                  <c:v>582</c:v>
                </c:pt>
              </c:numCache>
            </c:numRef>
          </c:yVal>
        </c:ser>
        <c:ser>
          <c:idx val="6"/>
          <c:order val="1"/>
          <c:spPr>
            <a:ln w="3175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VU!$S$40:$S$41</c:f>
              <c:numCache>
                <c:formatCode>#,##0.000</c:formatCode>
                <c:ptCount val="2"/>
                <c:pt idx="0">
                  <c:v>0.5614526680261297</c:v>
                </c:pt>
                <c:pt idx="1">
                  <c:v>0.53181250149082093</c:v>
                </c:pt>
              </c:numCache>
            </c:numRef>
          </c:xVal>
          <c:yVal>
            <c:numRef>
              <c:f>VU!$T$40:$T$41</c:f>
              <c:numCache>
                <c:formatCode>#,##0_"\K\g</c:formatCode>
                <c:ptCount val="2"/>
                <c:pt idx="0">
                  <c:v>942.99976000000004</c:v>
                </c:pt>
                <c:pt idx="1">
                  <c:v>895.47976000000006</c:v>
                </c:pt>
              </c:numCache>
            </c:numRef>
          </c:yVal>
        </c:ser>
        <c:ser>
          <c:idx val="1"/>
          <c:order val="2"/>
          <c:spPr>
            <a:ln w="3175">
              <a:solidFill>
                <a:srgbClr val="FF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VU!$S$29</c:f>
              <c:numCache>
                <c:formatCode>#,##0.000</c:formatCode>
                <c:ptCount val="1"/>
                <c:pt idx="0">
                  <c:v>0.43</c:v>
                </c:pt>
              </c:numCache>
            </c:numRef>
          </c:xVal>
          <c:yVal>
            <c:numRef>
              <c:f>VU!$T$29</c:f>
              <c:numCache>
                <c:formatCode>#,##0_"\K\g</c:formatCode>
                <c:ptCount val="1"/>
                <c:pt idx="0">
                  <c:v>624</c:v>
                </c:pt>
              </c:numCache>
            </c:numRef>
          </c:yVal>
        </c:ser>
        <c:ser>
          <c:idx val="2"/>
          <c:order val="3"/>
          <c:spPr>
            <a:ln w="25400">
              <a:solidFill>
                <a:srgbClr val="008000"/>
              </a:solidFill>
              <a:prstDash val="lgDash"/>
            </a:ln>
          </c:spPr>
          <c:marker>
            <c:symbol val="none"/>
          </c:marker>
          <c:xVal>
            <c:numRef>
              <c:f>VU!$S$30:$S$34</c:f>
              <c:numCache>
                <c:formatCode>0.000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VU!$T$30:$T$34</c:f>
              <c:numCache>
                <c:formatCode>#,##0_"\K\g</c:formatCode>
                <c:ptCount val="5"/>
                <c:pt idx="0">
                  <c:v>582</c:v>
                </c:pt>
                <c:pt idx="1">
                  <c:v>750</c:v>
                </c:pt>
                <c:pt idx="2">
                  <c:v>910</c:v>
                </c:pt>
                <c:pt idx="3">
                  <c:v>910</c:v>
                </c:pt>
                <c:pt idx="4">
                  <c:v>582</c:v>
                </c:pt>
              </c:numCache>
            </c:numRef>
          </c:yVal>
        </c:ser>
        <c:axId val="155305472"/>
        <c:axId val="155307392"/>
      </c:scatterChart>
      <c:valAx>
        <c:axId val="155305472"/>
        <c:scaling>
          <c:orientation val="minMax"/>
          <c:max val="0.65000000000000291"/>
          <c:min val="0.18000000000000024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(m)</a:t>
                </a:r>
              </a:p>
            </c:rich>
          </c:tx>
          <c:layout>
            <c:manualLayout>
              <c:xMode val="edge"/>
              <c:yMode val="edge"/>
              <c:x val="0.47356107964423982"/>
              <c:y val="0.9150811130158546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307392"/>
        <c:crossesAt val="610"/>
        <c:crossBetween val="midCat"/>
      </c:valAx>
      <c:valAx>
        <c:axId val="155307392"/>
        <c:scaling>
          <c:orientation val="minMax"/>
          <c:max val="1200"/>
          <c:min val="6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4.1128016505296967E-2"/>
              <c:y val="0.42313333527036062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305472"/>
        <c:crossesAt val="0.18000000000000024"/>
        <c:crossBetween val="midCat"/>
        <c:majorUnit val="5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000000000000311" l="0.70000000000000062" r="0.70000000000000062" t="0.7500000000000031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150252314862252"/>
          <c:y val="9.2559168218764726E-2"/>
          <c:w val="0.86032999439937496"/>
          <c:h val="0.75317754530955561"/>
        </c:manualLayout>
      </c:layout>
      <c:scatterChart>
        <c:scatterStyle val="lineMarker"/>
        <c:ser>
          <c:idx val="0"/>
          <c:order val="0"/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NN!$S$25:$S$29</c:f>
              <c:numCache>
                <c:formatCode>0.000</c:formatCode>
                <c:ptCount val="5"/>
                <c:pt idx="0">
                  <c:v>0.83499999999999996</c:v>
                </c:pt>
                <c:pt idx="1">
                  <c:v>0.83499999999999996</c:v>
                </c:pt>
                <c:pt idx="2">
                  <c:v>0.83499999999999996</c:v>
                </c:pt>
                <c:pt idx="3">
                  <c:v>0.95199999999999996</c:v>
                </c:pt>
                <c:pt idx="4">
                  <c:v>0.95199999999999996</c:v>
                </c:pt>
              </c:numCache>
            </c:numRef>
          </c:xVal>
          <c:yVal>
            <c:numRef>
              <c:f>NN!$T$25:$T$29</c:f>
              <c:numCache>
                <c:formatCode>#,##0_"\K\g</c:formatCode>
                <c:ptCount val="5"/>
                <c:pt idx="0">
                  <c:v>530</c:v>
                </c:pt>
                <c:pt idx="1">
                  <c:v>580</c:v>
                </c:pt>
                <c:pt idx="2">
                  <c:v>726</c:v>
                </c:pt>
                <c:pt idx="3">
                  <c:v>726</c:v>
                </c:pt>
                <c:pt idx="4">
                  <c:v>530</c:v>
                </c:pt>
              </c:numCache>
            </c:numRef>
          </c:yVal>
        </c:ser>
        <c:ser>
          <c:idx val="6"/>
          <c:order val="1"/>
          <c:spPr>
            <a:ln w="3175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NN!$S$30:$S$31</c:f>
              <c:numCache>
                <c:formatCode>#,##0.000</c:formatCode>
                <c:ptCount val="2"/>
                <c:pt idx="0">
                  <c:v>0.89786817429674581</c:v>
                </c:pt>
                <c:pt idx="1">
                  <c:v>0.89402447276418195</c:v>
                </c:pt>
              </c:numCache>
            </c:numRef>
          </c:xVal>
          <c:yVal>
            <c:numRef>
              <c:f>NN!$T$30:$T$31</c:f>
              <c:numCache>
                <c:formatCode>#,##0_"\K\g</c:formatCode>
                <c:ptCount val="2"/>
                <c:pt idx="0">
                  <c:v>725.2</c:v>
                </c:pt>
                <c:pt idx="1">
                  <c:v>709.36</c:v>
                </c:pt>
              </c:numCache>
            </c:numRef>
          </c:yVal>
        </c:ser>
        <c:ser>
          <c:idx val="1"/>
          <c:order val="2"/>
          <c:spPr>
            <a:ln w="3175">
              <a:solidFill>
                <a:srgbClr val="FF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NN!$S$24</c:f>
              <c:numCache>
                <c:formatCode>#,##0.000</c:formatCode>
                <c:ptCount val="1"/>
                <c:pt idx="0">
                  <c:v>0.85399999999999998</c:v>
                </c:pt>
              </c:numCache>
            </c:numRef>
          </c:xVal>
          <c:yVal>
            <c:numRef>
              <c:f>NN!$T$24</c:f>
              <c:numCache>
                <c:formatCode>#,##0_"\K\g</c:formatCode>
                <c:ptCount val="1"/>
                <c:pt idx="0">
                  <c:v>528</c:v>
                </c:pt>
              </c:numCache>
            </c:numRef>
          </c:yVal>
        </c:ser>
        <c:axId val="155395968"/>
        <c:axId val="155406336"/>
      </c:scatterChart>
      <c:valAx>
        <c:axId val="155395968"/>
        <c:scaling>
          <c:orientation val="minMax"/>
          <c:max val="0.98"/>
          <c:min val="0.78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(m)</a:t>
                </a:r>
              </a:p>
            </c:rich>
          </c:tx>
          <c:layout>
            <c:manualLayout>
              <c:xMode val="edge"/>
              <c:yMode val="edge"/>
              <c:x val="0.46713689682031667"/>
              <c:y val="0.90381318747370332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406336"/>
        <c:crossesAt val="530"/>
        <c:crossBetween val="midCat"/>
      </c:valAx>
      <c:valAx>
        <c:axId val="155406336"/>
        <c:scaling>
          <c:orientation val="minMax"/>
          <c:max val="750"/>
          <c:min val="53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3.6385047853347452E-2"/>
              <c:y val="0.40471936046162171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395968"/>
        <c:crossesAt val="0.78"/>
        <c:crossBetween val="midCat"/>
        <c:majorUnit val="20"/>
        <c:minorUnit val="1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000000000000266" l="0.70000000000000062" r="0.70000000000000062" t="0.75000000000000266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0.11280860626937295"/>
          <c:y val="8.8815842969299008E-2"/>
          <c:w val="0.8589905331553328"/>
          <c:h val="0.76809256790115032"/>
        </c:manualLayout>
      </c:layout>
      <c:scatterChart>
        <c:scatterStyle val="lineMarker"/>
        <c:ser>
          <c:idx val="0"/>
          <c:order val="0"/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RU!$S$27:$S$31</c:f>
              <c:numCache>
                <c:formatCode>0.000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RU!$T$27:$T$31</c:f>
              <c:numCache>
                <c:formatCode>#,##0_"\K\g</c:formatCode>
                <c:ptCount val="5"/>
                <c:pt idx="0">
                  <c:v>582</c:v>
                </c:pt>
                <c:pt idx="1">
                  <c:v>750</c:v>
                </c:pt>
                <c:pt idx="2">
                  <c:v>900</c:v>
                </c:pt>
                <c:pt idx="3">
                  <c:v>900</c:v>
                </c:pt>
                <c:pt idx="4">
                  <c:v>582</c:v>
                </c:pt>
              </c:numCache>
            </c:numRef>
          </c:yVal>
        </c:ser>
        <c:ser>
          <c:idx val="6"/>
          <c:order val="1"/>
          <c:spPr>
            <a:ln w="3175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RU!$S$32:$S$33</c:f>
              <c:numCache>
                <c:formatCode>#,##0.000</c:formatCode>
                <c:ptCount val="2"/>
                <c:pt idx="0">
                  <c:v>0.49736666611321478</c:v>
                </c:pt>
                <c:pt idx="1">
                  <c:v>0.48465986336930594</c:v>
                </c:pt>
              </c:numCache>
            </c:numRef>
          </c:xVal>
          <c:yVal>
            <c:numRef>
              <c:f>RU!$T$32:$T$33</c:f>
              <c:numCache>
                <c:formatCode>#,##0_"\K\g</c:formatCode>
                <c:ptCount val="2"/>
                <c:pt idx="0">
                  <c:v>899.99999920000005</c:v>
                </c:pt>
                <c:pt idx="1">
                  <c:v>881.99999920000005</c:v>
                </c:pt>
              </c:numCache>
            </c:numRef>
          </c:yVal>
        </c:ser>
        <c:ser>
          <c:idx val="1"/>
          <c:order val="2"/>
          <c:spPr>
            <a:ln w="3175">
              <a:solidFill>
                <a:srgbClr val="FF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RU!$S$26</c:f>
              <c:numCache>
                <c:formatCode>#,##0.000</c:formatCode>
                <c:ptCount val="1"/>
                <c:pt idx="0">
                  <c:v>0.31</c:v>
                </c:pt>
              </c:numCache>
            </c:numRef>
          </c:xVal>
          <c:yVal>
            <c:numRef>
              <c:f>RU!$T$26</c:f>
              <c:numCache>
                <c:formatCode>#,##0_"\K\g</c:formatCode>
                <c:ptCount val="1"/>
                <c:pt idx="0">
                  <c:v>576</c:v>
                </c:pt>
              </c:numCache>
            </c:numRef>
          </c:yVal>
        </c:ser>
        <c:axId val="155515136"/>
        <c:axId val="155533696"/>
      </c:scatterChart>
      <c:valAx>
        <c:axId val="155515136"/>
        <c:scaling>
          <c:orientation val="minMax"/>
          <c:max val="0.60000000000000064"/>
          <c:min val="0.15000000000000024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(m)</a:t>
                </a:r>
              </a:p>
            </c:rich>
          </c:tx>
          <c:layout>
            <c:manualLayout>
              <c:xMode val="edge"/>
              <c:yMode val="edge"/>
              <c:x val="0.46886077905619988"/>
              <c:y val="0.9128295270145208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533696"/>
        <c:crossesAt val="582"/>
        <c:crossBetween val="midCat"/>
      </c:valAx>
      <c:valAx>
        <c:axId val="155533696"/>
        <c:scaling>
          <c:orientation val="minMax"/>
          <c:max val="950"/>
          <c:min val="58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3.995301863027681E-2"/>
              <c:y val="0.41447381317999377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515136"/>
        <c:crossesAt val="0.15000000000000024"/>
        <c:crossBetween val="midCat"/>
        <c:majorUnit val="5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000000000000266" l="0.70000000000000062" r="0.70000000000000062" t="0.75000000000000266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plotArea>
      <c:layout>
        <c:manualLayout>
          <c:layoutTarget val="inner"/>
          <c:xMode val="edge"/>
          <c:yMode val="edge"/>
          <c:x val="9.5070572368825546E-2"/>
          <c:y val="8.3194743132168764E-2"/>
          <c:w val="0.87676194517916783"/>
          <c:h val="0.79367784948088915"/>
        </c:manualLayout>
      </c:layout>
      <c:scatterChart>
        <c:scatterStyle val="lineMarker"/>
        <c:ser>
          <c:idx val="0"/>
          <c:order val="0"/>
          <c:spPr>
            <a:ln w="25400">
              <a:solidFill>
                <a:srgbClr val="333333"/>
              </a:solidFill>
              <a:prstDash val="solid"/>
            </a:ln>
          </c:spPr>
          <c:marker>
            <c:symbol val="none"/>
          </c:marker>
          <c:xVal>
            <c:numRef>
              <c:f>ZG!$S$27:$S$31</c:f>
              <c:numCache>
                <c:formatCode>0.000</c:formatCode>
                <c:ptCount val="5"/>
                <c:pt idx="0">
                  <c:v>0.20499999999999999</c:v>
                </c:pt>
                <c:pt idx="1">
                  <c:v>0.20499999999999999</c:v>
                </c:pt>
                <c:pt idx="2">
                  <c:v>0.42799999999999999</c:v>
                </c:pt>
                <c:pt idx="3">
                  <c:v>0.56399999999999995</c:v>
                </c:pt>
                <c:pt idx="4">
                  <c:v>0.56399999999999995</c:v>
                </c:pt>
              </c:numCache>
            </c:numRef>
          </c:xVal>
          <c:yVal>
            <c:numRef>
              <c:f>ZG!$T$27:$T$31</c:f>
              <c:numCache>
                <c:formatCode>#,##0_"\K\g</c:formatCode>
                <c:ptCount val="5"/>
                <c:pt idx="0">
                  <c:v>592</c:v>
                </c:pt>
                <c:pt idx="1">
                  <c:v>750</c:v>
                </c:pt>
                <c:pt idx="2">
                  <c:v>900</c:v>
                </c:pt>
                <c:pt idx="3">
                  <c:v>900</c:v>
                </c:pt>
                <c:pt idx="4">
                  <c:v>592</c:v>
                </c:pt>
              </c:numCache>
            </c:numRef>
          </c:yVal>
        </c:ser>
        <c:ser>
          <c:idx val="6"/>
          <c:order val="1"/>
          <c:spPr>
            <a:ln w="3175">
              <a:solidFill>
                <a:srgbClr val="3366FF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ZG!$S$32:$S$33</c:f>
              <c:numCache>
                <c:formatCode>#,##0.000</c:formatCode>
                <c:ptCount val="2"/>
                <c:pt idx="0">
                  <c:v>0.52796999894750229</c:v>
                </c:pt>
                <c:pt idx="1">
                  <c:v>0.51588775400614562</c:v>
                </c:pt>
              </c:numCache>
            </c:numRef>
          </c:xVal>
          <c:yVal>
            <c:numRef>
              <c:f>ZG!$T$32:$T$33</c:f>
              <c:numCache>
                <c:formatCode>#,##0_"\K\g</c:formatCode>
                <c:ptCount val="2"/>
                <c:pt idx="0">
                  <c:v>899.99999839999998</c:v>
                </c:pt>
                <c:pt idx="1">
                  <c:v>881.99999839999998</c:v>
                </c:pt>
              </c:numCache>
            </c:numRef>
          </c:yVal>
        </c:ser>
        <c:ser>
          <c:idx val="1"/>
          <c:order val="2"/>
          <c:spPr>
            <a:ln w="3175">
              <a:solidFill>
                <a:srgbClr val="FF00FF"/>
              </a:solidFill>
              <a:prstDash val="solid"/>
            </a:ln>
          </c:spPr>
          <c:marker>
            <c:symbol val="circle"/>
            <c:size val="8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fr-FR"/>
              </a:p>
            </c:txPr>
            <c:showVal val="1"/>
          </c:dLbls>
          <c:xVal>
            <c:numRef>
              <c:f>ZG!$S$26</c:f>
              <c:numCache>
                <c:formatCode>#,##0.000</c:formatCode>
                <c:ptCount val="1"/>
                <c:pt idx="0">
                  <c:v>0.39900000000000002</c:v>
                </c:pt>
              </c:numCache>
            </c:numRef>
          </c:xVal>
          <c:yVal>
            <c:numRef>
              <c:f>ZG!$T$26</c:f>
              <c:numCache>
                <c:formatCode>#,##0_"\K\g</c:formatCode>
                <c:ptCount val="1"/>
                <c:pt idx="0">
                  <c:v>597</c:v>
                </c:pt>
              </c:numCache>
            </c:numRef>
          </c:yVal>
        </c:ser>
        <c:axId val="155581056"/>
        <c:axId val="155665152"/>
      </c:scatterChart>
      <c:valAx>
        <c:axId val="155581056"/>
        <c:scaling>
          <c:orientation val="minMax"/>
          <c:max val="0.60000000000000064"/>
          <c:min val="0.15000000000000024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Bras de levier (m)</a:t>
                </a:r>
              </a:p>
            </c:rich>
          </c:tx>
          <c:layout>
            <c:manualLayout>
              <c:xMode val="edge"/>
              <c:yMode val="edge"/>
              <c:x val="0.46009470412672465"/>
              <c:y val="0.9301170640383235"/>
            </c:manualLayout>
          </c:layout>
          <c:spPr>
            <a:noFill/>
            <a:ln w="25400">
              <a:noFill/>
            </a:ln>
          </c:spPr>
        </c:title>
        <c:numFmt formatCode="0.0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665152"/>
        <c:crossesAt val="592"/>
        <c:crossBetween val="midCat"/>
      </c:valAx>
      <c:valAx>
        <c:axId val="155665152"/>
        <c:scaling>
          <c:orientation val="minMax"/>
          <c:max val="950"/>
          <c:min val="592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fr-FR"/>
                  <a:t>Masse (kg)</a:t>
                </a:r>
              </a:p>
            </c:rich>
          </c:tx>
          <c:layout>
            <c:manualLayout>
              <c:xMode val="edge"/>
              <c:yMode val="edge"/>
              <c:x val="2.2300353983665852E-2"/>
              <c:y val="0.42096558559550834"/>
            </c:manualLayout>
          </c:layout>
          <c:spPr>
            <a:noFill/>
            <a:ln w="25400">
              <a:noFill/>
            </a:ln>
          </c:spPr>
        </c:title>
        <c:numFmt formatCode="0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fr-FR"/>
          </a:p>
        </c:txPr>
        <c:crossAx val="155581056"/>
        <c:crossesAt val="0.15000000000000024"/>
        <c:crossBetween val="midCat"/>
        <c:majorUnit val="50"/>
        <c:minorUnit val="20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FFFFFF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75000000000000266" l="0.70000000000000062" r="0.70000000000000062" t="0.75000000000000266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152400</xdr:rowOff>
    </xdr:from>
    <xdr:to>
      <xdr:col>9</xdr:col>
      <xdr:colOff>69850</xdr:colOff>
      <xdr:row>55</xdr:row>
      <xdr:rowOff>120650</xdr:rowOff>
    </xdr:to>
    <xdr:pic>
      <xdr:nvPicPr>
        <xdr:cNvPr id="998692" name="Picture 19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t="1552" r="1158" b="1552"/>
        <a:stretch>
          <a:fillRect/>
        </a:stretch>
      </xdr:blipFill>
      <xdr:spPr bwMode="auto">
        <a:xfrm>
          <a:off x="0" y="152400"/>
          <a:ext cx="6927850" cy="869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44450</xdr:rowOff>
    </xdr:from>
    <xdr:to>
      <xdr:col>13</xdr:col>
      <xdr:colOff>222250</xdr:colOff>
      <xdr:row>18</xdr:row>
      <xdr:rowOff>19050</xdr:rowOff>
    </xdr:to>
    <xdr:graphicFrame macro="">
      <xdr:nvGraphicFramePr>
        <xdr:cNvPr id="1274006" name="Chart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31750</xdr:rowOff>
    </xdr:from>
    <xdr:to>
      <xdr:col>4</xdr:col>
      <xdr:colOff>933450</xdr:colOff>
      <xdr:row>0</xdr:row>
      <xdr:rowOff>920750</xdr:rowOff>
    </xdr:to>
    <xdr:pic>
      <xdr:nvPicPr>
        <xdr:cNvPr id="1274007" name="Picture 2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361" r="23717"/>
        <a:stretch>
          <a:fillRect/>
        </a:stretch>
      </xdr:blipFill>
      <xdr:spPr bwMode="auto">
        <a:xfrm>
          <a:off x="38100" y="31750"/>
          <a:ext cx="6616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44450</xdr:colOff>
      <xdr:row>0</xdr:row>
      <xdr:rowOff>76200</xdr:rowOff>
    </xdr:from>
    <xdr:to>
      <xdr:col>13</xdr:col>
      <xdr:colOff>241300</xdr:colOff>
      <xdr:row>18</xdr:row>
      <xdr:rowOff>0</xdr:rowOff>
    </xdr:to>
    <xdr:graphicFrame macro="">
      <xdr:nvGraphicFramePr>
        <xdr:cNvPr id="1276054" name="Chart 19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31750</xdr:rowOff>
    </xdr:from>
    <xdr:to>
      <xdr:col>5</xdr:col>
      <xdr:colOff>31750</xdr:colOff>
      <xdr:row>0</xdr:row>
      <xdr:rowOff>920750</xdr:rowOff>
    </xdr:to>
    <xdr:pic>
      <xdr:nvPicPr>
        <xdr:cNvPr id="1276055" name="Picture 19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361" r="23717"/>
        <a:stretch>
          <a:fillRect/>
        </a:stretch>
      </xdr:blipFill>
      <xdr:spPr bwMode="auto">
        <a:xfrm>
          <a:off x="38100" y="31750"/>
          <a:ext cx="652145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69850</xdr:rowOff>
    </xdr:from>
    <xdr:to>
      <xdr:col>13</xdr:col>
      <xdr:colOff>234950</xdr:colOff>
      <xdr:row>17</xdr:row>
      <xdr:rowOff>6350</xdr:rowOff>
    </xdr:to>
    <xdr:graphicFrame macro="">
      <xdr:nvGraphicFramePr>
        <xdr:cNvPr id="1278102" name="Chart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31750</xdr:rowOff>
    </xdr:from>
    <xdr:to>
      <xdr:col>5</xdr:col>
      <xdr:colOff>31750</xdr:colOff>
      <xdr:row>0</xdr:row>
      <xdr:rowOff>920750</xdr:rowOff>
    </xdr:to>
    <xdr:pic>
      <xdr:nvPicPr>
        <xdr:cNvPr id="1278103" name="Picture 2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361" r="23717"/>
        <a:stretch>
          <a:fillRect/>
        </a:stretch>
      </xdr:blipFill>
      <xdr:spPr bwMode="auto">
        <a:xfrm>
          <a:off x="38100" y="31750"/>
          <a:ext cx="663575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69850</xdr:rowOff>
    </xdr:from>
    <xdr:to>
      <xdr:col>13</xdr:col>
      <xdr:colOff>234950</xdr:colOff>
      <xdr:row>17</xdr:row>
      <xdr:rowOff>6350</xdr:rowOff>
    </xdr:to>
    <xdr:graphicFrame macro="">
      <xdr:nvGraphicFramePr>
        <xdr:cNvPr id="2" name="Chart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31750</xdr:rowOff>
    </xdr:from>
    <xdr:to>
      <xdr:col>5</xdr:col>
      <xdr:colOff>31750</xdr:colOff>
      <xdr:row>0</xdr:row>
      <xdr:rowOff>920750</xdr:rowOff>
    </xdr:to>
    <xdr:pic>
      <xdr:nvPicPr>
        <xdr:cNvPr id="3" name="Picture 2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361" r="23717"/>
        <a:stretch>
          <a:fillRect/>
        </a:stretch>
      </xdr:blipFill>
      <xdr:spPr bwMode="auto">
        <a:xfrm>
          <a:off x="38100" y="31750"/>
          <a:ext cx="63373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69850</xdr:rowOff>
    </xdr:from>
    <xdr:to>
      <xdr:col>13</xdr:col>
      <xdr:colOff>234950</xdr:colOff>
      <xdr:row>17</xdr:row>
      <xdr:rowOff>6350</xdr:rowOff>
    </xdr:to>
    <xdr:graphicFrame macro="">
      <xdr:nvGraphicFramePr>
        <xdr:cNvPr id="2" name="Chart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31750</xdr:rowOff>
    </xdr:from>
    <xdr:to>
      <xdr:col>5</xdr:col>
      <xdr:colOff>31750</xdr:colOff>
      <xdr:row>0</xdr:row>
      <xdr:rowOff>920750</xdr:rowOff>
    </xdr:to>
    <xdr:pic>
      <xdr:nvPicPr>
        <xdr:cNvPr id="3" name="Picture 21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361" r="23717"/>
        <a:stretch>
          <a:fillRect/>
        </a:stretch>
      </xdr:blipFill>
      <xdr:spPr bwMode="auto">
        <a:xfrm>
          <a:off x="38100" y="31750"/>
          <a:ext cx="66421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31750</xdr:rowOff>
    </xdr:from>
    <xdr:to>
      <xdr:col>0</xdr:col>
      <xdr:colOff>5556250</xdr:colOff>
      <xdr:row>0</xdr:row>
      <xdr:rowOff>673100</xdr:rowOff>
    </xdr:to>
    <xdr:pic>
      <xdr:nvPicPr>
        <xdr:cNvPr id="1280075" name="Picture 21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361" r="23717"/>
        <a:stretch>
          <a:fillRect/>
        </a:stretch>
      </xdr:blipFill>
      <xdr:spPr bwMode="auto">
        <a:xfrm>
          <a:off x="44450" y="31750"/>
          <a:ext cx="5511800" cy="641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31750</xdr:rowOff>
    </xdr:from>
    <xdr:to>
      <xdr:col>6</xdr:col>
      <xdr:colOff>0</xdr:colOff>
      <xdr:row>0</xdr:row>
      <xdr:rowOff>876300</xdr:rowOff>
    </xdr:to>
    <xdr:pic>
      <xdr:nvPicPr>
        <xdr:cNvPr id="1262667" name="Picture 19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2361" r="23717"/>
        <a:stretch>
          <a:fillRect/>
        </a:stretch>
      </xdr:blipFill>
      <xdr:spPr bwMode="auto">
        <a:xfrm>
          <a:off x="38100" y="31750"/>
          <a:ext cx="7486650" cy="844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31750</xdr:colOff>
      <xdr:row>0</xdr:row>
      <xdr:rowOff>38100</xdr:rowOff>
    </xdr:from>
    <xdr:to>
      <xdr:col>13</xdr:col>
      <xdr:colOff>215900</xdr:colOff>
      <xdr:row>17</xdr:row>
      <xdr:rowOff>196850</xdr:rowOff>
    </xdr:to>
    <xdr:graphicFrame macro="">
      <xdr:nvGraphicFramePr>
        <xdr:cNvPr id="1265814" name="Chart 20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31750</xdr:rowOff>
    </xdr:from>
    <xdr:to>
      <xdr:col>5</xdr:col>
      <xdr:colOff>6350</xdr:colOff>
      <xdr:row>0</xdr:row>
      <xdr:rowOff>914400</xdr:rowOff>
    </xdr:to>
    <xdr:pic>
      <xdr:nvPicPr>
        <xdr:cNvPr id="1265815" name="Picture 20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361" r="23717"/>
        <a:stretch>
          <a:fillRect/>
        </a:stretch>
      </xdr:blipFill>
      <xdr:spPr bwMode="auto">
        <a:xfrm>
          <a:off x="38100" y="31750"/>
          <a:ext cx="6838950" cy="882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44450</xdr:rowOff>
    </xdr:from>
    <xdr:to>
      <xdr:col>13</xdr:col>
      <xdr:colOff>222250</xdr:colOff>
      <xdr:row>18</xdr:row>
      <xdr:rowOff>196850</xdr:rowOff>
    </xdr:to>
    <xdr:graphicFrame macro="">
      <xdr:nvGraphicFramePr>
        <xdr:cNvPr id="1268012" name="Chart 20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31750</xdr:rowOff>
    </xdr:from>
    <xdr:to>
      <xdr:col>4</xdr:col>
      <xdr:colOff>1257300</xdr:colOff>
      <xdr:row>0</xdr:row>
      <xdr:rowOff>920750</xdr:rowOff>
    </xdr:to>
    <xdr:pic>
      <xdr:nvPicPr>
        <xdr:cNvPr id="1268013" name="Picture 20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361" r="23717"/>
        <a:stretch>
          <a:fillRect/>
        </a:stretch>
      </xdr:blipFill>
      <xdr:spPr bwMode="auto">
        <a:xfrm>
          <a:off x="38100" y="31750"/>
          <a:ext cx="675005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7</xdr:col>
      <xdr:colOff>97790</xdr:colOff>
      <xdr:row>12</xdr:row>
      <xdr:rowOff>76200</xdr:rowOff>
    </xdr:from>
    <xdr:to>
      <xdr:col>8</xdr:col>
      <xdr:colOff>421786</xdr:colOff>
      <xdr:row>13</xdr:row>
      <xdr:rowOff>41744</xdr:rowOff>
    </xdr:to>
    <xdr:sp macro="" textlink="">
      <xdr:nvSpPr>
        <xdr:cNvPr id="998604" name="WordArt 204"/>
        <xdr:cNvSpPr>
          <a:spLocks noChangeShapeType="1" noTextEdit="1"/>
        </xdr:cNvSpPr>
      </xdr:nvSpPr>
      <xdr:spPr bwMode="auto">
        <a:xfrm>
          <a:off x="8135821" y="3535454"/>
          <a:ext cx="1080236" cy="1620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800" u="none" strike="noStrike" kern="10" cap="small" spc="0" baseline="0">
              <a:ln w="9525">
                <a:solidFill>
                  <a:srgbClr val="008000"/>
                </a:solidFill>
                <a:round/>
                <a:headEnd/>
                <a:tailEnd/>
              </a:ln>
              <a:solidFill>
                <a:srgbClr val="008000"/>
              </a:solidFill>
              <a:latin typeface="Arial"/>
              <a:cs typeface="Arial"/>
            </a:rPr>
            <a:t>Cat Utilitaire</a:t>
          </a:r>
        </a:p>
      </xdr:txBody>
    </xdr:sp>
    <xdr:clientData/>
  </xdr:twoCellAnchor>
  <xdr:twoCellAnchor>
    <xdr:from>
      <xdr:col>10</xdr:col>
      <xdr:colOff>80010</xdr:colOff>
      <xdr:row>4</xdr:row>
      <xdr:rowOff>38100</xdr:rowOff>
    </xdr:from>
    <xdr:to>
      <xdr:col>11</xdr:col>
      <xdr:colOff>413823</xdr:colOff>
      <xdr:row>5</xdr:row>
      <xdr:rowOff>1979</xdr:rowOff>
    </xdr:to>
    <xdr:sp macro="" textlink="">
      <xdr:nvSpPr>
        <xdr:cNvPr id="998605" name="WordArt 205"/>
        <xdr:cNvSpPr>
          <a:spLocks noChangeShapeType="1" noTextEdit="1"/>
        </xdr:cNvSpPr>
      </xdr:nvSpPr>
      <xdr:spPr bwMode="auto">
        <a:xfrm>
          <a:off x="10713720" y="1905000"/>
          <a:ext cx="1135380" cy="16764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800" u="none" strike="noStrike" kern="10" cap="small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latin typeface="Arial"/>
              <a:cs typeface="Arial"/>
            </a:rPr>
            <a:t>Cat Normale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44450</xdr:rowOff>
    </xdr:from>
    <xdr:to>
      <xdr:col>13</xdr:col>
      <xdr:colOff>222250</xdr:colOff>
      <xdr:row>18</xdr:row>
      <xdr:rowOff>19050</xdr:rowOff>
    </xdr:to>
    <xdr:graphicFrame macro="">
      <xdr:nvGraphicFramePr>
        <xdr:cNvPr id="1657913" name="Chart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31750</xdr:rowOff>
    </xdr:from>
    <xdr:to>
      <xdr:col>4</xdr:col>
      <xdr:colOff>933450</xdr:colOff>
      <xdr:row>0</xdr:row>
      <xdr:rowOff>920750</xdr:rowOff>
    </xdr:to>
    <xdr:pic>
      <xdr:nvPicPr>
        <xdr:cNvPr id="1657914" name="Picture 21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361" r="23717"/>
        <a:stretch>
          <a:fillRect/>
        </a:stretch>
      </xdr:blipFill>
      <xdr:spPr bwMode="auto">
        <a:xfrm>
          <a:off x="38100" y="31750"/>
          <a:ext cx="661670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44450</xdr:rowOff>
    </xdr:from>
    <xdr:to>
      <xdr:col>13</xdr:col>
      <xdr:colOff>222250</xdr:colOff>
      <xdr:row>21</xdr:row>
      <xdr:rowOff>0</xdr:rowOff>
    </xdr:to>
    <xdr:graphicFrame macro="">
      <xdr:nvGraphicFramePr>
        <xdr:cNvPr id="1270062" name="Chart 20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31750</xdr:rowOff>
    </xdr:from>
    <xdr:to>
      <xdr:col>4</xdr:col>
      <xdr:colOff>965200</xdr:colOff>
      <xdr:row>0</xdr:row>
      <xdr:rowOff>920750</xdr:rowOff>
    </xdr:to>
    <xdr:pic>
      <xdr:nvPicPr>
        <xdr:cNvPr id="1270063" name="Picture 2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361" r="23717"/>
        <a:stretch>
          <a:fillRect/>
        </a:stretch>
      </xdr:blipFill>
      <xdr:spPr bwMode="auto">
        <a:xfrm>
          <a:off x="38100" y="31750"/>
          <a:ext cx="680085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143510</xdr:colOff>
      <xdr:row>9</xdr:row>
      <xdr:rowOff>36830</xdr:rowOff>
    </xdr:from>
    <xdr:to>
      <xdr:col>12</xdr:col>
      <xdr:colOff>476104</xdr:colOff>
      <xdr:row>10</xdr:row>
      <xdr:rowOff>30543</xdr:rowOff>
    </xdr:to>
    <xdr:sp macro="" textlink="">
      <xdr:nvSpPr>
        <xdr:cNvPr id="998608" name="WordArt 208"/>
        <xdr:cNvSpPr>
          <a:spLocks noChangeShapeType="1" noTextEdit="1"/>
        </xdr:cNvSpPr>
      </xdr:nvSpPr>
      <xdr:spPr bwMode="auto">
        <a:xfrm>
          <a:off x="11826240" y="2895600"/>
          <a:ext cx="1127760" cy="19812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800" u="sng" strike="noStrike" kern="10" cap="small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latin typeface="Arial"/>
              <a:cs typeface="Arial"/>
            </a:rPr>
            <a:t>Cat Utilitaire</a:t>
          </a:r>
        </a:p>
      </xdr:txBody>
    </xdr:sp>
    <xdr:clientData/>
  </xdr:twoCellAnchor>
  <xdr:twoCellAnchor>
    <xdr:from>
      <xdr:col>11</xdr:col>
      <xdr:colOff>111760</xdr:colOff>
      <xdr:row>2</xdr:row>
      <xdr:rowOff>114300</xdr:rowOff>
    </xdr:from>
    <xdr:to>
      <xdr:col>12</xdr:col>
      <xdr:colOff>447196</xdr:colOff>
      <xdr:row>3</xdr:row>
      <xdr:rowOff>45090</xdr:rowOff>
    </xdr:to>
    <xdr:sp macro="" textlink="">
      <xdr:nvSpPr>
        <xdr:cNvPr id="998609" name="WordArt 209"/>
        <xdr:cNvSpPr>
          <a:spLocks noChangeShapeType="1" noTextEdit="1"/>
        </xdr:cNvSpPr>
      </xdr:nvSpPr>
      <xdr:spPr bwMode="auto">
        <a:xfrm>
          <a:off x="11795760" y="1463040"/>
          <a:ext cx="1135380" cy="20574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800" u="sng" strike="noStrike" kern="10" cap="small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latin typeface="Arial"/>
              <a:cs typeface="Arial"/>
            </a:rPr>
            <a:t>Cat Normale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44450</xdr:rowOff>
    </xdr:from>
    <xdr:to>
      <xdr:col>13</xdr:col>
      <xdr:colOff>222250</xdr:colOff>
      <xdr:row>21</xdr:row>
      <xdr:rowOff>0</xdr:rowOff>
    </xdr:to>
    <xdr:graphicFrame macro="">
      <xdr:nvGraphicFramePr>
        <xdr:cNvPr id="1829926" name="Chart 20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31750</xdr:rowOff>
    </xdr:from>
    <xdr:to>
      <xdr:col>4</xdr:col>
      <xdr:colOff>965200</xdr:colOff>
      <xdr:row>0</xdr:row>
      <xdr:rowOff>920750</xdr:rowOff>
    </xdr:to>
    <xdr:pic>
      <xdr:nvPicPr>
        <xdr:cNvPr id="1829927" name="Picture 2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361" r="23717"/>
        <a:stretch>
          <a:fillRect/>
        </a:stretch>
      </xdr:blipFill>
      <xdr:spPr bwMode="auto">
        <a:xfrm>
          <a:off x="38100" y="31750"/>
          <a:ext cx="680085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143510</xdr:colOff>
      <xdr:row>9</xdr:row>
      <xdr:rowOff>36830</xdr:rowOff>
    </xdr:from>
    <xdr:to>
      <xdr:col>12</xdr:col>
      <xdr:colOff>476104</xdr:colOff>
      <xdr:row>10</xdr:row>
      <xdr:rowOff>30543</xdr:rowOff>
    </xdr:to>
    <xdr:sp macro="" textlink="">
      <xdr:nvSpPr>
        <xdr:cNvPr id="4" name="WordArt 208"/>
        <xdr:cNvSpPr>
          <a:spLocks noChangeShapeType="1" noTextEdit="1"/>
        </xdr:cNvSpPr>
      </xdr:nvSpPr>
      <xdr:spPr bwMode="auto">
        <a:xfrm>
          <a:off x="11992610" y="2881630"/>
          <a:ext cx="1094594" cy="190563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800" u="sng" strike="noStrike" kern="10" cap="small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latin typeface="Arial"/>
              <a:cs typeface="Arial"/>
            </a:rPr>
            <a:t>Cat Utilitaire</a:t>
          </a:r>
        </a:p>
      </xdr:txBody>
    </xdr:sp>
    <xdr:clientData/>
  </xdr:twoCellAnchor>
  <xdr:twoCellAnchor>
    <xdr:from>
      <xdr:col>10</xdr:col>
      <xdr:colOff>95885</xdr:colOff>
      <xdr:row>2</xdr:row>
      <xdr:rowOff>98425</xdr:rowOff>
    </xdr:from>
    <xdr:to>
      <xdr:col>11</xdr:col>
      <xdr:colOff>431321</xdr:colOff>
      <xdr:row>3</xdr:row>
      <xdr:rowOff>29215</xdr:rowOff>
    </xdr:to>
    <xdr:sp macro="" textlink="">
      <xdr:nvSpPr>
        <xdr:cNvPr id="5" name="WordArt 209"/>
        <xdr:cNvSpPr>
          <a:spLocks noChangeShapeType="1" noTextEdit="1"/>
        </xdr:cNvSpPr>
      </xdr:nvSpPr>
      <xdr:spPr bwMode="auto">
        <a:xfrm>
          <a:off x="11192510" y="1455738"/>
          <a:ext cx="1097436" cy="18479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800" u="sng" strike="noStrike" kern="10" cap="small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latin typeface="Arial"/>
              <a:cs typeface="Arial"/>
            </a:rPr>
            <a:t>Cat Normale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44450</xdr:rowOff>
    </xdr:from>
    <xdr:to>
      <xdr:col>13</xdr:col>
      <xdr:colOff>222250</xdr:colOff>
      <xdr:row>21</xdr:row>
      <xdr:rowOff>0</xdr:rowOff>
    </xdr:to>
    <xdr:graphicFrame macro="">
      <xdr:nvGraphicFramePr>
        <xdr:cNvPr id="2" name="Chart 20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31750</xdr:rowOff>
    </xdr:from>
    <xdr:to>
      <xdr:col>4</xdr:col>
      <xdr:colOff>965200</xdr:colOff>
      <xdr:row>0</xdr:row>
      <xdr:rowOff>920750</xdr:rowOff>
    </xdr:to>
    <xdr:pic>
      <xdr:nvPicPr>
        <xdr:cNvPr id="3" name="Picture 20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361" r="23717"/>
        <a:stretch>
          <a:fillRect/>
        </a:stretch>
      </xdr:blipFill>
      <xdr:spPr bwMode="auto">
        <a:xfrm>
          <a:off x="38100" y="31750"/>
          <a:ext cx="680085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651510</xdr:colOff>
      <xdr:row>10</xdr:row>
      <xdr:rowOff>187642</xdr:rowOff>
    </xdr:from>
    <xdr:to>
      <xdr:col>11</xdr:col>
      <xdr:colOff>182417</xdr:colOff>
      <xdr:row>11</xdr:row>
      <xdr:rowOff>181356</xdr:rowOff>
    </xdr:to>
    <xdr:sp macro="" textlink="">
      <xdr:nvSpPr>
        <xdr:cNvPr id="4" name="WordArt 208"/>
        <xdr:cNvSpPr>
          <a:spLocks noChangeShapeType="1" noTextEdit="1"/>
        </xdr:cNvSpPr>
      </xdr:nvSpPr>
      <xdr:spPr bwMode="auto">
        <a:xfrm>
          <a:off x="10946448" y="3243580"/>
          <a:ext cx="1094594" cy="192151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800" u="sng" strike="noStrike" kern="10" cap="small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latin typeface="Arial"/>
              <a:cs typeface="Arial"/>
            </a:rPr>
            <a:t>Cat Utilitaire</a:t>
          </a:r>
        </a:p>
      </xdr:txBody>
    </xdr:sp>
    <xdr:clientData/>
  </xdr:twoCellAnchor>
  <xdr:twoCellAnchor>
    <xdr:from>
      <xdr:col>10</xdr:col>
      <xdr:colOff>95885</xdr:colOff>
      <xdr:row>2</xdr:row>
      <xdr:rowOff>98425</xdr:rowOff>
    </xdr:from>
    <xdr:to>
      <xdr:col>11</xdr:col>
      <xdr:colOff>431321</xdr:colOff>
      <xdr:row>3</xdr:row>
      <xdr:rowOff>29215</xdr:rowOff>
    </xdr:to>
    <xdr:sp macro="" textlink="">
      <xdr:nvSpPr>
        <xdr:cNvPr id="5" name="WordArt 209"/>
        <xdr:cNvSpPr>
          <a:spLocks noChangeShapeType="1" noTextEdit="1"/>
        </xdr:cNvSpPr>
      </xdr:nvSpPr>
      <xdr:spPr bwMode="auto">
        <a:xfrm>
          <a:off x="11182985" y="1450975"/>
          <a:ext cx="1097436" cy="18479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fr-FR" sz="800" u="sng" strike="noStrike" kern="10" cap="small" spc="0" baseline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0000"/>
              </a:solidFill>
              <a:latin typeface="Arial"/>
              <a:cs typeface="Arial"/>
            </a:rPr>
            <a:t>Cat Normale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0</xdr:row>
      <xdr:rowOff>69850</xdr:rowOff>
    </xdr:from>
    <xdr:to>
      <xdr:col>13</xdr:col>
      <xdr:colOff>234950</xdr:colOff>
      <xdr:row>16</xdr:row>
      <xdr:rowOff>6350</xdr:rowOff>
    </xdr:to>
    <xdr:graphicFrame macro="">
      <xdr:nvGraphicFramePr>
        <xdr:cNvPr id="1271958" name="Chart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0</xdr:row>
      <xdr:rowOff>31750</xdr:rowOff>
    </xdr:from>
    <xdr:to>
      <xdr:col>5</xdr:col>
      <xdr:colOff>31750</xdr:colOff>
      <xdr:row>0</xdr:row>
      <xdr:rowOff>920750</xdr:rowOff>
    </xdr:to>
    <xdr:pic>
      <xdr:nvPicPr>
        <xdr:cNvPr id="1271959" name="Picture 2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l="2361" r="23717"/>
        <a:stretch>
          <a:fillRect/>
        </a:stretch>
      </xdr:blipFill>
      <xdr:spPr bwMode="auto">
        <a:xfrm>
          <a:off x="38100" y="31750"/>
          <a:ext cx="6635750" cy="889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trick.righezza@free.fr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5" enableFormatConditionsCalculation="0"/>
  <dimension ref="A1"/>
  <sheetViews>
    <sheetView showGridLines="0" zoomScale="77" zoomScaleNormal="77" workbookViewId="0">
      <selection activeCell="F4" sqref="F4"/>
    </sheetView>
  </sheetViews>
  <sheetFormatPr baseColWidth="10" defaultRowHeight="12.5"/>
  <sheetData/>
  <sheetProtection password="C746" sheet="1" objects="1" scenarios="1"/>
  <pageMargins left="0.78740157499999996" right="0.78740157499999996" top="0.984251969" bottom="0.984251969" header="0.4921259845" footer="0.4921259845"/>
  <headerFooter alignWithMargins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euil7" enableFormatConditionsCalculation="0">
    <pageSetUpPr fitToPage="1"/>
  </sheetPr>
  <dimension ref="A1:T52"/>
  <sheetViews>
    <sheetView showGridLines="0" topLeftCell="A16" zoomScale="90" zoomScaleNormal="90" workbookViewId="0">
      <selection activeCell="A16" sqref="A15:A16"/>
    </sheetView>
  </sheetViews>
  <sheetFormatPr baseColWidth="10" defaultRowHeight="12.5"/>
  <cols>
    <col min="1" max="1" width="28.1796875" style="3" customWidth="1"/>
    <col min="2" max="2" width="11.1796875" style="3" customWidth="1"/>
    <col min="3" max="3" width="19.1796875" style="3" customWidth="1"/>
    <col min="4" max="4" width="23.7265625" style="3" customWidth="1"/>
    <col min="5" max="5" width="17.81640625" style="3" customWidth="1"/>
    <col min="6" max="10" width="11.453125" style="3" customWidth="1"/>
    <col min="14" max="14" width="3.54296875" customWidth="1"/>
  </cols>
  <sheetData>
    <row r="1" spans="1:10" ht="73.5" customHeight="1">
      <c r="B1" s="2"/>
      <c r="C1" s="59"/>
      <c r="D1" s="2"/>
      <c r="E1" s="60"/>
      <c r="G1" s="4"/>
    </row>
    <row r="2" spans="1:10" ht="33" customHeight="1">
      <c r="A2" s="216" t="s">
        <v>55</v>
      </c>
      <c r="B2" s="216"/>
      <c r="C2" s="216"/>
      <c r="D2" s="216"/>
      <c r="E2" s="216"/>
      <c r="G2" s="4"/>
    </row>
    <row r="3" spans="1:10" ht="20">
      <c r="A3" s="2" t="s">
        <v>177</v>
      </c>
      <c r="B3" s="2"/>
      <c r="C3" s="2"/>
      <c r="D3" s="2"/>
      <c r="E3" s="2"/>
      <c r="G3" s="4"/>
    </row>
    <row r="4" spans="1:10" ht="20.5" thickBot="1">
      <c r="A4" s="2"/>
      <c r="B4" s="2"/>
      <c r="C4" s="2"/>
      <c r="D4" s="63" t="s">
        <v>127</v>
      </c>
      <c r="E4" s="5">
        <v>900</v>
      </c>
    </row>
    <row r="5" spans="1:10" ht="15">
      <c r="A5" s="7"/>
      <c r="B5" s="8" t="s">
        <v>0</v>
      </c>
      <c r="C5" s="8" t="s">
        <v>1</v>
      </c>
      <c r="D5" s="8" t="s">
        <v>2</v>
      </c>
      <c r="E5" s="9" t="s">
        <v>3</v>
      </c>
      <c r="G5" s="6"/>
    </row>
    <row r="6" spans="1:10" ht="15.5">
      <c r="A6" s="10" t="s">
        <v>119</v>
      </c>
      <c r="B6" s="113"/>
      <c r="C6" s="114">
        <v>576</v>
      </c>
      <c r="D6" s="12">
        <v>0.31</v>
      </c>
      <c r="E6" s="53">
        <v>178.56</v>
      </c>
    </row>
    <row r="7" spans="1:10" ht="15.5">
      <c r="A7" s="10" t="s">
        <v>4</v>
      </c>
      <c r="B7" s="113"/>
      <c r="C7" s="115">
        <v>77</v>
      </c>
      <c r="D7" s="11">
        <v>0.41</v>
      </c>
      <c r="E7" s="54">
        <f t="shared" ref="E7:E12" si="0">IF(C7&lt;&gt;"",D7*C7,"")</f>
        <v>31.569999999999997</v>
      </c>
    </row>
    <row r="8" spans="1:10" ht="15.5">
      <c r="A8" s="10" t="s">
        <v>5</v>
      </c>
      <c r="B8" s="113"/>
      <c r="C8" s="115">
        <v>77</v>
      </c>
      <c r="D8" s="11">
        <v>0.41</v>
      </c>
      <c r="E8" s="54">
        <f t="shared" si="0"/>
        <v>31.569999999999997</v>
      </c>
      <c r="G8" s="72"/>
    </row>
    <row r="9" spans="1:10" ht="15.5">
      <c r="A9" s="10" t="s">
        <v>6</v>
      </c>
      <c r="B9" s="113"/>
      <c r="C9" s="115">
        <v>77</v>
      </c>
      <c r="D9" s="11">
        <v>1.19</v>
      </c>
      <c r="E9" s="54">
        <f t="shared" si="0"/>
        <v>91.63</v>
      </c>
    </row>
    <row r="10" spans="1:10" ht="15.5">
      <c r="A10" s="10" t="s">
        <v>7</v>
      </c>
      <c r="B10" s="113"/>
      <c r="C10" s="115"/>
      <c r="D10" s="11">
        <v>1.19</v>
      </c>
      <c r="E10" s="54" t="str">
        <f t="shared" si="0"/>
        <v/>
      </c>
    </row>
    <row r="11" spans="1:10" ht="15.5">
      <c r="A11" s="10" t="s">
        <v>53</v>
      </c>
      <c r="B11" s="113"/>
      <c r="C11" s="115">
        <v>13</v>
      </c>
      <c r="D11" s="11">
        <v>1.9</v>
      </c>
      <c r="E11" s="54">
        <f t="shared" si="0"/>
        <v>24.7</v>
      </c>
    </row>
    <row r="12" spans="1:10" ht="15.5">
      <c r="A12" s="10" t="s">
        <v>54</v>
      </c>
      <c r="B12" s="122">
        <v>111.11111</v>
      </c>
      <c r="C12" s="116">
        <f>B12*0.72</f>
        <v>79.999999199999991</v>
      </c>
      <c r="D12" s="11">
        <v>1.1200000000000001</v>
      </c>
      <c r="E12" s="54">
        <f t="shared" si="0"/>
        <v>89.599999103999991</v>
      </c>
    </row>
    <row r="13" spans="1:10" ht="15.5">
      <c r="A13" s="10"/>
      <c r="B13" s="113"/>
      <c r="C13" s="113"/>
      <c r="D13" s="79" t="str">
        <f>+IF(B12&gt;C24,"attention carburant MAXIMUM " &amp; ROUND(C24,0) &amp; "litres","")</f>
        <v>attention carburant MAXIMUM 109litres</v>
      </c>
      <c r="E13" s="54"/>
    </row>
    <row r="14" spans="1:10" ht="15">
      <c r="A14" s="13" t="s">
        <v>125</v>
      </c>
      <c r="B14" s="117"/>
      <c r="C14" s="117">
        <f>SUM(C6:C12)</f>
        <v>899.99999920000005</v>
      </c>
      <c r="D14" s="14">
        <f>E14/C14</f>
        <v>0.49736666611321478</v>
      </c>
      <c r="E14" s="55">
        <f>SUM(E6:E12)</f>
        <v>447.62999910399998</v>
      </c>
    </row>
    <row r="15" spans="1:10" s="1" customFormat="1" ht="15.5">
      <c r="A15" s="10" t="s">
        <v>16</v>
      </c>
      <c r="B15" s="115">
        <v>1</v>
      </c>
      <c r="C15" s="118" t="s">
        <v>17</v>
      </c>
      <c r="D15" s="79" t="str">
        <f>+IF(C14&gt;E4,"attention surcharge " &amp; ROUND(C14-E4,0) &amp; "kg","")</f>
        <v/>
      </c>
      <c r="E15" s="56"/>
      <c r="F15" s="15"/>
      <c r="G15" s="15"/>
      <c r="H15" s="15"/>
      <c r="I15" s="15"/>
      <c r="J15" s="15"/>
    </row>
    <row r="16" spans="1:10" ht="15.5">
      <c r="A16" s="10" t="s">
        <v>8</v>
      </c>
      <c r="B16" s="125">
        <f>-B15*D25</f>
        <v>-25</v>
      </c>
      <c r="C16" s="113">
        <f>0.72*B16</f>
        <v>-18</v>
      </c>
      <c r="D16" s="11">
        <f>+D12</f>
        <v>1.1200000000000001</v>
      </c>
      <c r="E16" s="54">
        <f>IF(C16&lt;&gt;"",D16*C16,"")</f>
        <v>-20.160000000000004</v>
      </c>
    </row>
    <row r="17" spans="1:20" ht="15.5">
      <c r="A17" s="16"/>
      <c r="B17" s="119"/>
      <c r="C17" s="119"/>
      <c r="D17" s="79" t="e">
        <f>+IF(B15&gt;C25/D25,"attention autonomie MAXIMUM " &amp; ROUND(C25/D25,2) &amp; " heures","")</f>
        <v>#VALUE!</v>
      </c>
      <c r="E17" s="57"/>
    </row>
    <row r="18" spans="1:20" ht="16" thickBot="1">
      <c r="A18" s="17" t="s">
        <v>126</v>
      </c>
      <c r="B18" s="120"/>
      <c r="C18" s="120">
        <f>C14+C16</f>
        <v>881.99999920000005</v>
      </c>
      <c r="D18" s="18">
        <f>E18/C18</f>
        <v>0.48465986336930594</v>
      </c>
      <c r="E18" s="58">
        <f>E14+E16</f>
        <v>427.46999910399995</v>
      </c>
    </row>
    <row r="19" spans="1:20">
      <c r="A19" s="228" t="s">
        <v>29</v>
      </c>
      <c r="B19" s="228"/>
      <c r="C19" s="228"/>
      <c r="D19" s="228"/>
      <c r="E19" s="228"/>
    </row>
    <row r="20" spans="1:20" ht="13.5" customHeight="1">
      <c r="A20" s="229" t="s">
        <v>26</v>
      </c>
      <c r="B20" s="229"/>
      <c r="C20" s="229"/>
      <c r="D20" s="229"/>
      <c r="E20" s="229"/>
    </row>
    <row r="21" spans="1:20" ht="14.25" customHeight="1">
      <c r="A21" s="19"/>
      <c r="B21" s="20"/>
      <c r="C21" s="21"/>
    </row>
    <row r="22" spans="1:20" ht="17.5" customHeight="1">
      <c r="B22" s="46" t="s">
        <v>13</v>
      </c>
    </row>
    <row r="23" spans="1:20" ht="17.5" customHeight="1" thickBot="1">
      <c r="C23" s="47" t="s">
        <v>14</v>
      </c>
      <c r="D23" s="47" t="s">
        <v>47</v>
      </c>
      <c r="E23" s="47" t="s">
        <v>15</v>
      </c>
      <c r="G23" s="47"/>
    </row>
    <row r="24" spans="1:20" ht="18.75" customHeight="1">
      <c r="B24" s="48" t="s">
        <v>27</v>
      </c>
      <c r="C24" s="49">
        <v>109</v>
      </c>
      <c r="D24" s="50"/>
      <c r="E24" s="51"/>
      <c r="Q24" s="223" t="s">
        <v>19</v>
      </c>
      <c r="R24" s="224"/>
      <c r="S24" s="224"/>
      <c r="T24" s="225"/>
    </row>
    <row r="25" spans="1:20" ht="18.75" customHeight="1">
      <c r="B25" s="48" t="s">
        <v>28</v>
      </c>
      <c r="C25" s="80" t="str">
        <f>IF(B12&gt;C24,"attention max " &amp; ROUND(C24,0) &amp; " l",B12)</f>
        <v>attention max 109 l</v>
      </c>
      <c r="D25" s="50">
        <v>25</v>
      </c>
      <c r="E25" s="81" t="str">
        <f>IF(C25&gt;C24,"Erreur",C25/D25*0.04166666667)</f>
        <v>Erreur</v>
      </c>
      <c r="Q25" s="22"/>
      <c r="R25" s="23"/>
      <c r="S25" s="24" t="s">
        <v>9</v>
      </c>
      <c r="T25" s="25" t="s">
        <v>10</v>
      </c>
    </row>
    <row r="26" spans="1:20" ht="25">
      <c r="Q26" s="26" t="s">
        <v>18</v>
      </c>
      <c r="R26" s="27" t="s">
        <v>20</v>
      </c>
      <c r="S26" s="28">
        <f>D6</f>
        <v>0.31</v>
      </c>
      <c r="T26" s="69">
        <f>C6</f>
        <v>576</v>
      </c>
    </row>
    <row r="27" spans="1:20" ht="18.75" customHeight="1">
      <c r="B27" s="46"/>
      <c r="Q27" s="26"/>
      <c r="R27" s="29" t="s">
        <v>11</v>
      </c>
      <c r="S27" s="30">
        <v>0.20499999999999999</v>
      </c>
      <c r="T27" s="61">
        <v>582</v>
      </c>
    </row>
    <row r="28" spans="1:20" ht="25">
      <c r="B28" s="46"/>
      <c r="Q28" s="31" t="s">
        <v>85</v>
      </c>
      <c r="R28" s="29" t="s">
        <v>11</v>
      </c>
      <c r="S28" s="30">
        <v>0.20499999999999999</v>
      </c>
      <c r="T28" s="61">
        <v>750</v>
      </c>
    </row>
    <row r="29" spans="1:20" ht="25">
      <c r="A29" s="52"/>
      <c r="Q29" s="32" t="s">
        <v>21</v>
      </c>
      <c r="R29" s="29" t="s">
        <v>11</v>
      </c>
      <c r="S29" s="30">
        <v>0.42799999999999999</v>
      </c>
      <c r="T29" s="61">
        <f>+E4</f>
        <v>900</v>
      </c>
    </row>
    <row r="30" spans="1:20" ht="37.5">
      <c r="Q30" s="32" t="s">
        <v>24</v>
      </c>
      <c r="R30" s="29" t="s">
        <v>11</v>
      </c>
      <c r="S30" s="30">
        <v>0.56399999999999995</v>
      </c>
      <c r="T30" s="61">
        <f>+T29</f>
        <v>900</v>
      </c>
    </row>
    <row r="31" spans="1:20" ht="18.75" customHeight="1" thickBot="1">
      <c r="Q31" s="33"/>
      <c r="R31" s="34" t="s">
        <v>11</v>
      </c>
      <c r="S31" s="30">
        <v>0.56399999999999995</v>
      </c>
      <c r="T31" s="62">
        <v>582</v>
      </c>
    </row>
    <row r="32" spans="1:20" ht="18.75" customHeight="1">
      <c r="Q32" s="226" t="s">
        <v>22</v>
      </c>
      <c r="R32" s="36" t="s">
        <v>12</v>
      </c>
      <c r="S32" s="37">
        <f>E14/C14</f>
        <v>0.49736666611321478</v>
      </c>
      <c r="T32" s="70">
        <f>C14</f>
        <v>899.99999920000005</v>
      </c>
    </row>
    <row r="33" spans="7:20" ht="18.75" customHeight="1" thickBot="1">
      <c r="Q33" s="227"/>
      <c r="R33" s="38" t="s">
        <v>12</v>
      </c>
      <c r="S33" s="39">
        <f>E18/C18</f>
        <v>0.48465986336930594</v>
      </c>
      <c r="T33" s="71">
        <f>C18</f>
        <v>881.99999920000005</v>
      </c>
    </row>
    <row r="34" spans="7:20" ht="18.75" customHeight="1">
      <c r="G34" s="40"/>
      <c r="H34" s="41"/>
      <c r="I34" s="41"/>
    </row>
    <row r="35" spans="7:20" ht="18.75" customHeight="1">
      <c r="G35" s="40"/>
      <c r="H35" s="42"/>
      <c r="I35" s="41"/>
    </row>
    <row r="36" spans="7:20" ht="18.75" customHeight="1"/>
    <row r="37" spans="7:20" ht="17.5" customHeight="1"/>
    <row r="38" spans="7:20" ht="17.5" customHeight="1">
      <c r="G38" s="43"/>
      <c r="H38" s="44"/>
      <c r="I38" s="45"/>
    </row>
    <row r="39" spans="7:20" ht="17.5" customHeight="1"/>
    <row r="40" spans="7:20" ht="17.5" customHeight="1"/>
    <row r="41" spans="7:20" ht="17.5" customHeight="1"/>
    <row r="42" spans="7:20" ht="17.5" customHeight="1"/>
    <row r="43" spans="7:20" ht="17.5" customHeight="1"/>
    <row r="44" spans="7:20" ht="17.5" customHeight="1"/>
    <row r="45" spans="7:20" ht="17.5" customHeight="1"/>
    <row r="46" spans="7:20" ht="17.5" customHeight="1"/>
    <row r="47" spans="7:20" ht="17.5" customHeight="1"/>
    <row r="48" spans="7:20" ht="17.5" customHeight="1"/>
    <row r="49" ht="17.5" customHeight="1"/>
    <row r="50" ht="17.5" customHeight="1"/>
    <row r="51" ht="17.5" customHeight="1"/>
    <row r="52" ht="17.5" customHeight="1"/>
  </sheetData>
  <sheetProtection password="C746" sheet="1" objects="1" scenarios="1"/>
  <mergeCells count="5">
    <mergeCell ref="Q24:T24"/>
    <mergeCell ref="Q32:Q33"/>
    <mergeCell ref="A2:E2"/>
    <mergeCell ref="A19:E19"/>
    <mergeCell ref="A20:E20"/>
  </mergeCells>
  <conditionalFormatting sqref="D13 D15 D17">
    <cfRule type="cellIs" dxfId="4" priority="1" stopIfTrue="1" operator="notEqual">
      <formula>""</formula>
    </cfRule>
  </conditionalFormatting>
  <printOptions horizontalCentered="1"/>
  <pageMargins left="0.59055118110236227" right="0.47244094488188981" top="0.78740157480314965" bottom="0.78740157480314965" header="0.51181102362204722" footer="0.51181102362204722"/>
  <pageSetup paperSize="9" scale="66" orientation="landscape" r:id="rId1"/>
  <headerFooter alignWithMargins="0">
    <oddHeader>&amp;Rédité le &amp;D à &amp;T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 codeName="Feuil8" enableFormatConditionsCalculation="0">
    <pageSetUpPr fitToPage="1"/>
  </sheetPr>
  <dimension ref="A1:T52"/>
  <sheetViews>
    <sheetView showGridLines="0" zoomScale="90" zoomScaleNormal="90" workbookViewId="0">
      <selection activeCell="C7" sqref="C7"/>
    </sheetView>
  </sheetViews>
  <sheetFormatPr baseColWidth="10" defaultRowHeight="12.5"/>
  <cols>
    <col min="1" max="1" width="28.1796875" style="3" customWidth="1"/>
    <col min="2" max="2" width="10.7265625" style="3" customWidth="1"/>
    <col min="3" max="3" width="14.453125" style="3" customWidth="1"/>
    <col min="4" max="4" width="23.7265625" style="3" customWidth="1"/>
    <col min="5" max="5" width="16.7265625" style="3" customWidth="1"/>
    <col min="6" max="10" width="11.453125" style="3" customWidth="1"/>
    <col min="14" max="14" width="4" customWidth="1"/>
  </cols>
  <sheetData>
    <row r="1" spans="1:10" ht="73.5" customHeight="1">
      <c r="B1" s="2"/>
      <c r="C1" s="59"/>
      <c r="D1" s="2"/>
      <c r="E1" s="60"/>
      <c r="G1" s="4"/>
    </row>
    <row r="2" spans="1:10" ht="33" customHeight="1">
      <c r="A2" s="216" t="s">
        <v>58</v>
      </c>
      <c r="B2" s="216"/>
      <c r="C2" s="216"/>
      <c r="D2" s="216"/>
      <c r="E2" s="216"/>
      <c r="G2" s="4"/>
    </row>
    <row r="3" spans="1:10" ht="20">
      <c r="A3" s="2" t="s">
        <v>166</v>
      </c>
      <c r="B3" s="2"/>
      <c r="C3" s="2"/>
      <c r="D3" s="2"/>
      <c r="E3" s="2"/>
      <c r="G3" s="4"/>
    </row>
    <row r="4" spans="1:10" ht="20.5" thickBot="1">
      <c r="A4" s="2"/>
      <c r="B4" s="2"/>
      <c r="C4" s="2"/>
      <c r="D4" s="63" t="s">
        <v>127</v>
      </c>
      <c r="E4" s="5">
        <v>900</v>
      </c>
    </row>
    <row r="5" spans="1:10" ht="15">
      <c r="A5" s="7"/>
      <c r="B5" s="8" t="s">
        <v>0</v>
      </c>
      <c r="C5" s="8" t="s">
        <v>1</v>
      </c>
      <c r="D5" s="8" t="s">
        <v>2</v>
      </c>
      <c r="E5" s="9" t="s">
        <v>3</v>
      </c>
      <c r="G5" s="6"/>
    </row>
    <row r="6" spans="1:10" ht="15.5">
      <c r="A6" s="10" t="s">
        <v>119</v>
      </c>
      <c r="B6" s="113"/>
      <c r="C6" s="114">
        <v>597</v>
      </c>
      <c r="D6" s="12">
        <v>0.39900000000000002</v>
      </c>
      <c r="E6" s="53">
        <v>238.203</v>
      </c>
    </row>
    <row r="7" spans="1:10" ht="15.5">
      <c r="A7" s="10" t="s">
        <v>4</v>
      </c>
      <c r="B7" s="113"/>
      <c r="C7" s="115">
        <v>77</v>
      </c>
      <c r="D7" s="11">
        <v>0.41</v>
      </c>
      <c r="E7" s="54">
        <f t="shared" ref="E7:E12" si="0">IF(C7&lt;&gt;"",D7*C7,"")</f>
        <v>31.569999999999997</v>
      </c>
    </row>
    <row r="8" spans="1:10" ht="15.5">
      <c r="A8" s="10" t="s">
        <v>5</v>
      </c>
      <c r="B8" s="113"/>
      <c r="C8" s="115">
        <v>77</v>
      </c>
      <c r="D8" s="11">
        <v>0.41</v>
      </c>
      <c r="E8" s="54">
        <f t="shared" si="0"/>
        <v>31.569999999999997</v>
      </c>
      <c r="G8" s="72"/>
    </row>
    <row r="9" spans="1:10" ht="15.5">
      <c r="A9" s="10" t="s">
        <v>6</v>
      </c>
      <c r="B9" s="113"/>
      <c r="C9" s="115">
        <v>77</v>
      </c>
      <c r="D9" s="11">
        <v>1.19</v>
      </c>
      <c r="E9" s="54">
        <f t="shared" si="0"/>
        <v>91.63</v>
      </c>
    </row>
    <row r="10" spans="1:10" ht="15.5">
      <c r="A10" s="10" t="s">
        <v>7</v>
      </c>
      <c r="B10" s="113"/>
      <c r="C10" s="115"/>
      <c r="D10" s="11">
        <v>1.19</v>
      </c>
      <c r="E10" s="54" t="str">
        <f t="shared" si="0"/>
        <v/>
      </c>
    </row>
    <row r="11" spans="1:10" ht="15.5">
      <c r="A11" s="10" t="s">
        <v>53</v>
      </c>
      <c r="B11" s="113"/>
      <c r="C11" s="115">
        <v>2</v>
      </c>
      <c r="D11" s="11">
        <v>1.9</v>
      </c>
      <c r="E11" s="54">
        <f t="shared" si="0"/>
        <v>3.8</v>
      </c>
    </row>
    <row r="12" spans="1:10" ht="15.5">
      <c r="A12" s="10" t="s">
        <v>123</v>
      </c>
      <c r="B12" s="122">
        <v>97.222219999999993</v>
      </c>
      <c r="C12" s="116">
        <f>B12*0.72</f>
        <v>69.999998399999996</v>
      </c>
      <c r="D12" s="11">
        <v>1.1200000000000001</v>
      </c>
      <c r="E12" s="54">
        <f t="shared" si="0"/>
        <v>78.399998208</v>
      </c>
    </row>
    <row r="13" spans="1:10" ht="15.5">
      <c r="A13" s="10"/>
      <c r="B13" s="113"/>
      <c r="C13" s="113"/>
      <c r="D13" s="79" t="str">
        <f>+IF(B12&gt;C24,"attention carburant MAXIMUM " &amp; ROUND(C24,0) &amp; "litres","")</f>
        <v/>
      </c>
      <c r="E13" s="54"/>
    </row>
    <row r="14" spans="1:10" ht="15">
      <c r="A14" s="13" t="s">
        <v>125</v>
      </c>
      <c r="B14" s="117"/>
      <c r="C14" s="117">
        <f>SUM(C6:C12)</f>
        <v>899.99999839999998</v>
      </c>
      <c r="D14" s="14">
        <f>E14/C14</f>
        <v>0.52796999894750229</v>
      </c>
      <c r="E14" s="55">
        <f>SUM(E6:E12)</f>
        <v>475.17299820800002</v>
      </c>
    </row>
    <row r="15" spans="1:10" s="1" customFormat="1" ht="15.5">
      <c r="A15" s="10" t="s">
        <v>16</v>
      </c>
      <c r="B15" s="115">
        <v>1</v>
      </c>
      <c r="C15" s="118" t="s">
        <v>17</v>
      </c>
      <c r="D15" s="79" t="str">
        <f>+IF(C14&gt;E4,"attention surcharge " &amp; ROUND(C14-E4,0) &amp; "kg","")</f>
        <v/>
      </c>
      <c r="E15" s="56"/>
      <c r="F15" s="15"/>
      <c r="G15" s="15"/>
      <c r="H15" s="15"/>
      <c r="I15" s="15"/>
      <c r="J15" s="15"/>
    </row>
    <row r="16" spans="1:10" ht="15.5">
      <c r="A16" s="10" t="s">
        <v>8</v>
      </c>
      <c r="B16" s="125">
        <f>-B15*D25</f>
        <v>-25</v>
      </c>
      <c r="C16" s="113">
        <f>0.72*B16</f>
        <v>-18</v>
      </c>
      <c r="D16" s="11">
        <f>+D12</f>
        <v>1.1200000000000001</v>
      </c>
      <c r="E16" s="54">
        <f>IF(C16&lt;&gt;"",D16*C16,"")</f>
        <v>-20.160000000000004</v>
      </c>
    </row>
    <row r="17" spans="1:20" ht="15.5">
      <c r="A17" s="16"/>
      <c r="B17" s="119"/>
      <c r="C17" s="119"/>
      <c r="D17" s="79" t="str">
        <f>+IF(B15&gt;C25/D25,"attention autonomie MAXIMUM " &amp; ROUND(C25/D25,2) &amp; " heures","")</f>
        <v/>
      </c>
      <c r="E17" s="57"/>
    </row>
    <row r="18" spans="1:20" ht="16" thickBot="1">
      <c r="A18" s="17" t="s">
        <v>126</v>
      </c>
      <c r="B18" s="120"/>
      <c r="C18" s="120">
        <f>C14+C16</f>
        <v>881.99999839999998</v>
      </c>
      <c r="D18" s="18">
        <f>E18/C18</f>
        <v>0.51588775400614562</v>
      </c>
      <c r="E18" s="58">
        <f>E14+E16</f>
        <v>455.012998208</v>
      </c>
    </row>
    <row r="19" spans="1:20">
      <c r="A19" s="228" t="s">
        <v>29</v>
      </c>
      <c r="B19" s="228"/>
      <c r="C19" s="228"/>
      <c r="D19" s="228"/>
      <c r="E19" s="228"/>
    </row>
    <row r="20" spans="1:20" ht="13.5" customHeight="1">
      <c r="A20" s="229" t="s">
        <v>26</v>
      </c>
      <c r="B20" s="229"/>
      <c r="C20" s="229"/>
      <c r="D20" s="229"/>
      <c r="E20" s="229"/>
    </row>
    <row r="21" spans="1:20" ht="14.25" customHeight="1">
      <c r="A21" s="19"/>
      <c r="B21" s="20"/>
      <c r="C21" s="21"/>
    </row>
    <row r="22" spans="1:20" ht="17.5" customHeight="1">
      <c r="B22" s="46" t="s">
        <v>13</v>
      </c>
    </row>
    <row r="23" spans="1:20" ht="17.5" customHeight="1" thickBot="1">
      <c r="C23" s="47" t="s">
        <v>14</v>
      </c>
      <c r="D23" s="47" t="s">
        <v>47</v>
      </c>
      <c r="E23" s="47" t="s">
        <v>15</v>
      </c>
    </row>
    <row r="24" spans="1:20" ht="18.75" customHeight="1">
      <c r="B24" s="48" t="s">
        <v>27</v>
      </c>
      <c r="C24" s="49">
        <v>100</v>
      </c>
      <c r="D24" s="50"/>
      <c r="E24" s="51"/>
      <c r="Q24" s="223" t="s">
        <v>19</v>
      </c>
      <c r="R24" s="224"/>
      <c r="S24" s="224"/>
      <c r="T24" s="225"/>
    </row>
    <row r="25" spans="1:20" ht="18.75" customHeight="1">
      <c r="B25" s="48" t="s">
        <v>28</v>
      </c>
      <c r="C25" s="80">
        <f>IF(B12&gt;C24,"attention max " &amp; ROUND(C24,0) &amp; " l",B12)</f>
        <v>97.222219999999993</v>
      </c>
      <c r="D25" s="50">
        <v>25</v>
      </c>
      <c r="E25" s="81">
        <f>IF(C25&gt;C24,"Erreur",C25/D25*0.04166666667)</f>
        <v>0.16203703334629627</v>
      </c>
      <c r="Q25" s="22"/>
      <c r="R25" s="23"/>
      <c r="S25" s="24" t="s">
        <v>9</v>
      </c>
      <c r="T25" s="25" t="s">
        <v>10</v>
      </c>
    </row>
    <row r="26" spans="1:20" ht="25">
      <c r="Q26" s="26" t="s">
        <v>18</v>
      </c>
      <c r="R26" s="27" t="s">
        <v>20</v>
      </c>
      <c r="S26" s="28">
        <f>D6</f>
        <v>0.39900000000000002</v>
      </c>
      <c r="T26" s="69">
        <f>C6</f>
        <v>597</v>
      </c>
    </row>
    <row r="27" spans="1:20" ht="18.75" customHeight="1">
      <c r="B27" s="46"/>
      <c r="Q27" s="26"/>
      <c r="R27" s="29" t="s">
        <v>11</v>
      </c>
      <c r="S27" s="30">
        <v>0.20499999999999999</v>
      </c>
      <c r="T27" s="61">
        <v>592</v>
      </c>
    </row>
    <row r="28" spans="1:20" ht="25">
      <c r="B28" s="46"/>
      <c r="Q28" s="31" t="s">
        <v>85</v>
      </c>
      <c r="R28" s="29" t="s">
        <v>11</v>
      </c>
      <c r="S28" s="30">
        <v>0.20499999999999999</v>
      </c>
      <c r="T28" s="61">
        <v>750</v>
      </c>
    </row>
    <row r="29" spans="1:20" ht="25">
      <c r="A29" s="52"/>
      <c r="Q29" s="32" t="s">
        <v>21</v>
      </c>
      <c r="R29" s="29" t="s">
        <v>11</v>
      </c>
      <c r="S29" s="30">
        <v>0.42799999999999999</v>
      </c>
      <c r="T29" s="61">
        <f>+E4</f>
        <v>900</v>
      </c>
    </row>
    <row r="30" spans="1:20" ht="37.5">
      <c r="Q30" s="32" t="s">
        <v>24</v>
      </c>
      <c r="R30" s="29" t="s">
        <v>11</v>
      </c>
      <c r="S30" s="30">
        <v>0.56399999999999995</v>
      </c>
      <c r="T30" s="61">
        <f>+T29</f>
        <v>900</v>
      </c>
    </row>
    <row r="31" spans="1:20" ht="18.75" customHeight="1" thickBot="1">
      <c r="Q31" s="33"/>
      <c r="R31" s="34" t="s">
        <v>11</v>
      </c>
      <c r="S31" s="30">
        <v>0.56399999999999995</v>
      </c>
      <c r="T31" s="62">
        <v>592</v>
      </c>
    </row>
    <row r="32" spans="1:20" ht="18.75" customHeight="1">
      <c r="Q32" s="226" t="s">
        <v>22</v>
      </c>
      <c r="R32" s="36" t="s">
        <v>12</v>
      </c>
      <c r="S32" s="37">
        <f>E14/C14</f>
        <v>0.52796999894750229</v>
      </c>
      <c r="T32" s="70">
        <f>C14</f>
        <v>899.99999839999998</v>
      </c>
    </row>
    <row r="33" spans="7:20" ht="18.75" customHeight="1" thickBot="1">
      <c r="Q33" s="227"/>
      <c r="R33" s="38" t="s">
        <v>12</v>
      </c>
      <c r="S33" s="39">
        <f>E18/C18</f>
        <v>0.51588775400614562</v>
      </c>
      <c r="T33" s="71">
        <f>C18</f>
        <v>881.99999839999998</v>
      </c>
    </row>
    <row r="34" spans="7:20" ht="18.75" customHeight="1">
      <c r="G34" s="40"/>
      <c r="H34" s="41"/>
      <c r="I34" s="41"/>
    </row>
    <row r="35" spans="7:20" ht="18.75" customHeight="1">
      <c r="G35" s="40"/>
      <c r="H35" s="42"/>
      <c r="I35" s="41"/>
    </row>
    <row r="36" spans="7:20" ht="18.75" customHeight="1"/>
    <row r="37" spans="7:20" ht="17.5" customHeight="1"/>
    <row r="38" spans="7:20" ht="17.5" customHeight="1">
      <c r="G38" s="43"/>
      <c r="H38" s="44"/>
      <c r="I38" s="45"/>
    </row>
    <row r="39" spans="7:20" ht="17.5" customHeight="1"/>
    <row r="40" spans="7:20" ht="17.5" customHeight="1"/>
    <row r="41" spans="7:20" ht="17.5" customHeight="1"/>
    <row r="42" spans="7:20" ht="17.5" customHeight="1"/>
    <row r="43" spans="7:20" ht="17.5" customHeight="1"/>
    <row r="44" spans="7:20" ht="17.5" customHeight="1"/>
    <row r="45" spans="7:20" ht="17.5" customHeight="1"/>
    <row r="46" spans="7:20" ht="17.5" customHeight="1"/>
    <row r="47" spans="7:20" ht="17.5" customHeight="1"/>
    <row r="48" spans="7:20" ht="17.5" customHeight="1"/>
    <row r="49" ht="17.5" customHeight="1"/>
    <row r="50" ht="17.5" customHeight="1"/>
    <row r="51" ht="17.5" customHeight="1"/>
    <row r="52" ht="17.5" customHeight="1"/>
  </sheetData>
  <sheetProtection password="C746" sheet="1" objects="1"/>
  <mergeCells count="5">
    <mergeCell ref="Q24:T24"/>
    <mergeCell ref="Q32:Q33"/>
    <mergeCell ref="A2:E2"/>
    <mergeCell ref="A19:E19"/>
    <mergeCell ref="A20:E20"/>
  </mergeCells>
  <conditionalFormatting sqref="D13 D15 D17">
    <cfRule type="cellIs" dxfId="3" priority="1" stopIfTrue="1" operator="notEqual">
      <formula>""</formula>
    </cfRule>
  </conditionalFormatting>
  <printOptions horizontalCentered="1"/>
  <pageMargins left="0.59055118110236227" right="0.47244094488188981" top="0.78740157480314965" bottom="0.78740157480314965" header="0.51181102362204722" footer="0.51181102362204722"/>
  <pageSetup paperSize="9" scale="66" orientation="landscape" r:id="rId1"/>
  <headerFooter alignWithMargins="0">
    <oddHeader>&amp;Rédité le &amp;D à &amp;T</oddHead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 codeName="Feuil9" enableFormatConditionsCalculation="0">
    <pageSetUpPr fitToPage="1"/>
  </sheetPr>
  <dimension ref="A1:T51"/>
  <sheetViews>
    <sheetView showGridLines="0" zoomScale="90" zoomScaleNormal="90" workbookViewId="0">
      <selection activeCell="C7" sqref="C7"/>
    </sheetView>
  </sheetViews>
  <sheetFormatPr baseColWidth="10" defaultRowHeight="12.5"/>
  <cols>
    <col min="1" max="1" width="28.1796875" style="3" customWidth="1"/>
    <col min="2" max="2" width="11" style="3" customWidth="1"/>
    <col min="3" max="3" width="14.26953125" style="3" customWidth="1"/>
    <col min="4" max="4" width="24" style="3" customWidth="1"/>
    <col min="5" max="5" width="17.7265625" style="3" customWidth="1"/>
    <col min="6" max="10" width="11.453125" style="3" customWidth="1"/>
    <col min="14" max="14" width="4" customWidth="1"/>
  </cols>
  <sheetData>
    <row r="1" spans="1:10" ht="73.5" customHeight="1">
      <c r="B1" s="2"/>
      <c r="C1" s="59"/>
      <c r="D1" s="2"/>
      <c r="E1" s="60"/>
      <c r="G1" s="4"/>
    </row>
    <row r="2" spans="1:10" ht="33" customHeight="1">
      <c r="A2" s="216" t="s">
        <v>153</v>
      </c>
      <c r="B2" s="216"/>
      <c r="C2" s="216"/>
      <c r="D2" s="216"/>
      <c r="E2" s="216"/>
      <c r="G2" s="4"/>
    </row>
    <row r="3" spans="1:10" ht="20">
      <c r="A3" s="2" t="s">
        <v>184</v>
      </c>
      <c r="B3" s="2"/>
      <c r="C3" s="2"/>
      <c r="D3" s="2"/>
      <c r="E3" s="2"/>
      <c r="G3" s="4"/>
    </row>
    <row r="4" spans="1:10" ht="20.5" thickBot="1">
      <c r="A4" s="2"/>
      <c r="B4" s="2"/>
      <c r="C4" s="2"/>
      <c r="D4" s="63" t="s">
        <v>127</v>
      </c>
      <c r="E4" s="5">
        <v>600</v>
      </c>
    </row>
    <row r="5" spans="1:10" ht="15">
      <c r="A5" s="7"/>
      <c r="B5" s="8" t="s">
        <v>0</v>
      </c>
      <c r="C5" s="8" t="s">
        <v>1</v>
      </c>
      <c r="D5" s="8" t="s">
        <v>151</v>
      </c>
      <c r="E5" s="9" t="s">
        <v>150</v>
      </c>
      <c r="G5" s="6"/>
    </row>
    <row r="6" spans="1:10" ht="15.5">
      <c r="A6" s="10" t="s">
        <v>119</v>
      </c>
      <c r="B6" s="113"/>
      <c r="C6" s="154">
        <v>386.1</v>
      </c>
      <c r="D6" s="12">
        <f>1500*0.2865</f>
        <v>429.74999999999994</v>
      </c>
      <c r="E6" s="53">
        <v>165911.4</v>
      </c>
      <c r="G6" s="73"/>
    </row>
    <row r="7" spans="1:10" ht="15.5">
      <c r="A7" s="10" t="s">
        <v>4</v>
      </c>
      <c r="B7" s="113"/>
      <c r="C7" s="115">
        <v>85</v>
      </c>
      <c r="D7" s="11">
        <v>700</v>
      </c>
      <c r="E7" s="54">
        <f>IF(C7&lt;&gt;"",D7*C7,"")</f>
        <v>59500</v>
      </c>
    </row>
    <row r="8" spans="1:10" ht="15.5">
      <c r="A8" s="10" t="s">
        <v>5</v>
      </c>
      <c r="B8" s="113"/>
      <c r="C8" s="115">
        <v>65</v>
      </c>
      <c r="D8" s="11">
        <v>700</v>
      </c>
      <c r="E8" s="54">
        <f>IF(C8&lt;&gt;"",D8*C8,"")</f>
        <v>45500</v>
      </c>
      <c r="G8" s="72"/>
    </row>
    <row r="9" spans="1:10" ht="15.5">
      <c r="A9" s="10" t="s">
        <v>149</v>
      </c>
      <c r="B9" s="113"/>
      <c r="C9" s="115">
        <v>10</v>
      </c>
      <c r="D9" s="11">
        <v>1310</v>
      </c>
      <c r="E9" s="54">
        <f>IF(C9&lt;&gt;"",D9*C9,"")</f>
        <v>13100</v>
      </c>
    </row>
    <row r="10" spans="1:10" ht="15.5">
      <c r="A10" s="10" t="s">
        <v>152</v>
      </c>
      <c r="B10" s="113"/>
      <c r="C10" s="115">
        <v>10</v>
      </c>
      <c r="D10" s="11">
        <v>600</v>
      </c>
      <c r="E10" s="54">
        <f>IF(C10&lt;&gt;"",D10*C10,"")</f>
        <v>6000</v>
      </c>
    </row>
    <row r="11" spans="1:10" ht="15.5">
      <c r="A11" s="10" t="s">
        <v>148</v>
      </c>
      <c r="B11" s="122">
        <v>59.7</v>
      </c>
      <c r="C11" s="116">
        <f>B11*0.72</f>
        <v>42.984000000000002</v>
      </c>
      <c r="D11" s="11">
        <v>180</v>
      </c>
      <c r="E11" s="54">
        <f>IF(C11&lt;&gt;"",D11*C11,"")</f>
        <v>7737.12</v>
      </c>
    </row>
    <row r="12" spans="1:10" ht="15.5">
      <c r="A12" s="10"/>
      <c r="B12" s="113"/>
      <c r="C12" s="113"/>
      <c r="D12" s="79" t="str">
        <f>+IF(B11&gt;C23,"attention carburant MAXIMUM " &amp; ROUND(C23,0) &amp; "litres","")</f>
        <v/>
      </c>
      <c r="E12" s="54"/>
    </row>
    <row r="13" spans="1:10" ht="15">
      <c r="A13" s="13" t="s">
        <v>125</v>
      </c>
      <c r="B13" s="117"/>
      <c r="C13" s="117">
        <f>SUM(C6:C11)</f>
        <v>599.08400000000006</v>
      </c>
      <c r="D13" s="14">
        <f>E13/C13</f>
        <v>497.00629627898587</v>
      </c>
      <c r="E13" s="55">
        <f>SUM(E6:E11)</f>
        <v>297748.52</v>
      </c>
    </row>
    <row r="14" spans="1:10" s="1" customFormat="1" ht="15.5">
      <c r="A14" s="10" t="s">
        <v>16</v>
      </c>
      <c r="B14" s="151">
        <v>2.5</v>
      </c>
      <c r="C14" s="118" t="s">
        <v>17</v>
      </c>
      <c r="D14" s="79" t="str">
        <f>+IF(C13&gt;E4,"attention surcharge " &amp; ROUND(C13-E4,0) &amp; "kg","")</f>
        <v/>
      </c>
      <c r="E14" s="56"/>
      <c r="F14" s="15"/>
      <c r="G14" s="15"/>
      <c r="H14" s="15"/>
      <c r="I14" s="15"/>
      <c r="J14" s="15"/>
    </row>
    <row r="15" spans="1:10" ht="15.5">
      <c r="A15" s="10" t="s">
        <v>8</v>
      </c>
      <c r="B15" s="125">
        <f>-B14*D24</f>
        <v>-48.75</v>
      </c>
      <c r="C15" s="113">
        <f>0.72*B15</f>
        <v>-35.1</v>
      </c>
      <c r="D15" s="11">
        <f>+D11</f>
        <v>180</v>
      </c>
      <c r="E15" s="54">
        <f>IF(C15&lt;&gt;"",D15*C15,"")</f>
        <v>-6318</v>
      </c>
    </row>
    <row r="16" spans="1:10" ht="15.5">
      <c r="A16" s="16"/>
      <c r="B16" s="119"/>
      <c r="C16" s="119"/>
      <c r="D16" s="79" t="str">
        <f>+IF(B14&gt;C24/D24,"attention autonomie MAXIMUM " &amp; ROUND(C24/D24,2) &amp; " heures","")</f>
        <v/>
      </c>
      <c r="E16" s="57"/>
    </row>
    <row r="17" spans="1:20" ht="16" thickBot="1">
      <c r="A17" s="153" t="s">
        <v>126</v>
      </c>
      <c r="B17" s="120"/>
      <c r="C17" s="120">
        <f>C13+C15</f>
        <v>563.98400000000004</v>
      </c>
      <c r="D17" s="18">
        <f>E17/C17</f>
        <v>516.73543930324263</v>
      </c>
      <c r="E17" s="58">
        <f>E13+E15</f>
        <v>291430.52</v>
      </c>
    </row>
    <row r="18" spans="1:20">
      <c r="A18" s="228" t="s">
        <v>29</v>
      </c>
      <c r="B18" s="228"/>
      <c r="C18" s="228"/>
      <c r="D18" s="228"/>
      <c r="E18" s="228"/>
    </row>
    <row r="19" spans="1:20" ht="13.5" customHeight="1">
      <c r="A19" s="152" t="s">
        <v>158</v>
      </c>
      <c r="B19" s="152"/>
      <c r="C19" s="152"/>
      <c r="D19" s="152"/>
      <c r="E19" s="152"/>
      <c r="G19" s="155" t="s">
        <v>185</v>
      </c>
      <c r="H19" s="156"/>
      <c r="I19" s="156"/>
      <c r="J19" s="156"/>
      <c r="K19" s="157"/>
      <c r="L19" s="157"/>
      <c r="M19" s="158"/>
    </row>
    <row r="20" spans="1:20" ht="14.25" customHeight="1">
      <c r="A20" s="19"/>
      <c r="B20" s="20"/>
      <c r="C20" s="21"/>
      <c r="G20" s="159"/>
      <c r="H20" s="138"/>
      <c r="I20" s="138"/>
      <c r="J20" s="138"/>
      <c r="K20" s="139"/>
      <c r="L20" s="139"/>
      <c r="M20" s="160"/>
    </row>
    <row r="21" spans="1:20" ht="17.5" customHeight="1">
      <c r="B21" s="46" t="s">
        <v>13</v>
      </c>
      <c r="G21" s="161" t="s">
        <v>186</v>
      </c>
      <c r="H21" s="162"/>
      <c r="I21" s="162"/>
      <c r="J21" s="163">
        <f>+D13</f>
        <v>497.00629627898587</v>
      </c>
      <c r="K21" s="139"/>
      <c r="L21" s="139"/>
      <c r="M21" s="160"/>
    </row>
    <row r="22" spans="1:20" ht="17.5" customHeight="1" thickBot="1">
      <c r="C22" s="47" t="s">
        <v>14</v>
      </c>
      <c r="D22" s="47" t="s">
        <v>47</v>
      </c>
      <c r="E22" s="47" t="s">
        <v>15</v>
      </c>
      <c r="G22" s="161" t="s">
        <v>193</v>
      </c>
      <c r="H22" s="162"/>
      <c r="I22" s="162"/>
      <c r="J22" s="164">
        <f>+J21/1500</f>
        <v>0.33133753085265727</v>
      </c>
      <c r="K22" s="165" t="s">
        <v>194</v>
      </c>
      <c r="L22" s="139"/>
      <c r="M22" s="160"/>
    </row>
    <row r="23" spans="1:20" ht="18.75" customHeight="1">
      <c r="B23" s="48" t="s">
        <v>27</v>
      </c>
      <c r="C23" s="49">
        <v>113</v>
      </c>
      <c r="D23" s="50"/>
      <c r="E23" s="51"/>
      <c r="G23" s="166" t="s">
        <v>189</v>
      </c>
      <c r="H23" s="167"/>
      <c r="I23" s="167"/>
      <c r="J23" s="168">
        <f>+D17</f>
        <v>516.73543930324263</v>
      </c>
      <c r="K23" s="169"/>
      <c r="L23" s="139"/>
      <c r="M23" s="160"/>
      <c r="Q23" s="223" t="s">
        <v>19</v>
      </c>
      <c r="R23" s="224"/>
      <c r="S23" s="224"/>
      <c r="T23" s="225"/>
    </row>
    <row r="24" spans="1:20" ht="18.75" customHeight="1">
      <c r="B24" s="48" t="s">
        <v>28</v>
      </c>
      <c r="C24" s="80">
        <f>IF(B11&gt;C23,"attention max " &amp; ROUND(C23,0) &amp; " l",B11-1)</f>
        <v>58.7</v>
      </c>
      <c r="D24" s="150">
        <v>19.5</v>
      </c>
      <c r="E24" s="81">
        <f>IF(C24&gt;C23,"Erreur",C24/D24*0.04166666667)</f>
        <v>0.12542735043738462</v>
      </c>
      <c r="G24" s="166" t="s">
        <v>193</v>
      </c>
      <c r="H24" s="167"/>
      <c r="I24" s="167"/>
      <c r="J24" s="170">
        <f>+J23/1500</f>
        <v>0.34449029286882843</v>
      </c>
      <c r="K24" s="169" t="s">
        <v>194</v>
      </c>
      <c r="L24" s="139"/>
      <c r="M24" s="160"/>
      <c r="Q24" s="22"/>
      <c r="R24" s="23"/>
      <c r="S24" s="24" t="s">
        <v>9</v>
      </c>
      <c r="T24" s="25" t="s">
        <v>10</v>
      </c>
    </row>
    <row r="25" spans="1:20" ht="25">
      <c r="G25" s="171" t="s">
        <v>187</v>
      </c>
      <c r="H25" s="172"/>
      <c r="I25" s="172"/>
      <c r="J25" s="172"/>
      <c r="K25" s="173"/>
      <c r="L25" s="139"/>
      <c r="M25" s="160"/>
      <c r="Q25" s="26" t="s">
        <v>18</v>
      </c>
      <c r="R25" s="27" t="s">
        <v>20</v>
      </c>
      <c r="S25" s="28">
        <f>D6</f>
        <v>429.74999999999994</v>
      </c>
      <c r="T25" s="69">
        <f>C6</f>
        <v>386.1</v>
      </c>
    </row>
    <row r="26" spans="1:20" ht="18.75" customHeight="1">
      <c r="B26" s="46"/>
      <c r="G26" s="174" t="s">
        <v>188</v>
      </c>
      <c r="H26" s="172"/>
      <c r="I26" s="172"/>
      <c r="J26" s="175">
        <f>+D6</f>
        <v>429.74999999999994</v>
      </c>
      <c r="K26" s="173"/>
      <c r="L26" s="139"/>
      <c r="M26" s="160"/>
      <c r="Q26" s="26"/>
      <c r="R26" s="29" t="s">
        <v>11</v>
      </c>
      <c r="S26" s="30">
        <v>427</v>
      </c>
      <c r="T26" s="61">
        <v>387</v>
      </c>
    </row>
    <row r="27" spans="1:20" ht="25">
      <c r="B27" s="46"/>
      <c r="G27" s="176" t="s">
        <v>193</v>
      </c>
      <c r="H27" s="177"/>
      <c r="I27" s="177"/>
      <c r="J27" s="178">
        <f>+J26/1500</f>
        <v>0.28649999999999998</v>
      </c>
      <c r="K27" s="179" t="s">
        <v>195</v>
      </c>
      <c r="L27" s="180"/>
      <c r="M27" s="181"/>
      <c r="Q27" s="31" t="s">
        <v>50</v>
      </c>
      <c r="R27" s="29" t="s">
        <v>11</v>
      </c>
      <c r="S27" s="30">
        <v>420</v>
      </c>
      <c r="T27" s="61">
        <v>387</v>
      </c>
    </row>
    <row r="28" spans="1:20" ht="25">
      <c r="A28" s="52"/>
      <c r="Q28" s="32" t="s">
        <v>21</v>
      </c>
      <c r="R28" s="29" t="s">
        <v>11</v>
      </c>
      <c r="S28" s="30">
        <v>420</v>
      </c>
      <c r="T28" s="61">
        <f>+E4</f>
        <v>600</v>
      </c>
    </row>
    <row r="29" spans="1:20" ht="37.5">
      <c r="Q29" s="32" t="s">
        <v>24</v>
      </c>
      <c r="R29" s="29" t="s">
        <v>11</v>
      </c>
      <c r="S29" s="30">
        <v>525</v>
      </c>
      <c r="T29" s="61">
        <f>+T28</f>
        <v>600</v>
      </c>
    </row>
    <row r="30" spans="1:20" ht="18.75" customHeight="1">
      <c r="Q30" s="33"/>
      <c r="R30" s="34" t="s">
        <v>11</v>
      </c>
      <c r="S30" s="30">
        <v>525</v>
      </c>
      <c r="T30" s="62">
        <v>387</v>
      </c>
    </row>
    <row r="31" spans="1:20" ht="18.75" customHeight="1" thickBot="1">
      <c r="Q31" s="33"/>
      <c r="R31" s="34" t="s">
        <v>11</v>
      </c>
      <c r="S31" s="30">
        <v>442.5</v>
      </c>
      <c r="T31" s="62">
        <v>387</v>
      </c>
    </row>
    <row r="32" spans="1:20" ht="18.75" customHeight="1">
      <c r="Q32" s="226" t="s">
        <v>22</v>
      </c>
      <c r="R32" s="36" t="s">
        <v>12</v>
      </c>
      <c r="S32" s="37">
        <f>E13/C13</f>
        <v>497.00629627898587</v>
      </c>
      <c r="T32" s="70">
        <f>C13</f>
        <v>599.08400000000006</v>
      </c>
    </row>
    <row r="33" spans="7:20" ht="18.75" customHeight="1" thickBot="1">
      <c r="G33" s="40"/>
      <c r="H33" s="41"/>
      <c r="I33" s="41"/>
      <c r="Q33" s="227"/>
      <c r="R33" s="38" t="s">
        <v>12</v>
      </c>
      <c r="S33" s="39">
        <f>E17/C17</f>
        <v>516.73543930324263</v>
      </c>
      <c r="T33" s="71">
        <f>C17</f>
        <v>563.98400000000004</v>
      </c>
    </row>
    <row r="34" spans="7:20" s="3" customFormat="1" ht="18.75" customHeight="1">
      <c r="G34" s="40"/>
      <c r="H34" s="42"/>
      <c r="I34" s="41"/>
      <c r="K34"/>
      <c r="L34"/>
      <c r="M34"/>
      <c r="N34"/>
      <c r="O34"/>
      <c r="P34"/>
      <c r="Q34"/>
      <c r="R34"/>
      <c r="S34"/>
      <c r="T34"/>
    </row>
    <row r="35" spans="7:20" s="3" customFormat="1" ht="18.75" customHeight="1">
      <c r="K35"/>
      <c r="L35"/>
      <c r="M35"/>
      <c r="N35"/>
      <c r="O35"/>
      <c r="P35"/>
      <c r="Q35"/>
      <c r="R35"/>
      <c r="S35"/>
      <c r="T35"/>
    </row>
    <row r="36" spans="7:20" s="3" customFormat="1" ht="17.5" customHeight="1">
      <c r="K36"/>
      <c r="L36"/>
      <c r="M36"/>
      <c r="N36"/>
      <c r="O36"/>
      <c r="P36"/>
      <c r="Q36"/>
      <c r="R36"/>
      <c r="S36"/>
      <c r="T36"/>
    </row>
    <row r="37" spans="7:20" s="3" customFormat="1" ht="17.5" customHeight="1">
      <c r="G37" s="43"/>
      <c r="H37" s="44"/>
      <c r="I37" s="45"/>
      <c r="K37"/>
      <c r="L37"/>
      <c r="M37"/>
      <c r="N37"/>
      <c r="O37"/>
      <c r="P37"/>
      <c r="Q37"/>
      <c r="R37"/>
      <c r="S37"/>
      <c r="T37"/>
    </row>
    <row r="38" spans="7:20" s="3" customFormat="1" ht="17.5" customHeight="1">
      <c r="K38"/>
      <c r="L38"/>
      <c r="M38"/>
      <c r="N38"/>
      <c r="O38"/>
      <c r="P38"/>
      <c r="Q38"/>
      <c r="R38"/>
      <c r="S38"/>
      <c r="T38"/>
    </row>
    <row r="39" spans="7:20" s="3" customFormat="1" ht="17.5" customHeight="1">
      <c r="K39"/>
      <c r="L39"/>
      <c r="M39"/>
      <c r="N39"/>
      <c r="O39"/>
      <c r="P39"/>
      <c r="Q39"/>
      <c r="R39"/>
      <c r="S39"/>
      <c r="T39"/>
    </row>
    <row r="40" spans="7:20" s="3" customFormat="1" ht="17.5" customHeight="1">
      <c r="K40"/>
      <c r="L40"/>
      <c r="M40"/>
      <c r="N40"/>
      <c r="O40"/>
      <c r="P40"/>
      <c r="Q40"/>
      <c r="R40"/>
      <c r="S40"/>
      <c r="T40"/>
    </row>
    <row r="41" spans="7:20" s="3" customFormat="1" ht="17.5" customHeight="1">
      <c r="K41"/>
      <c r="L41"/>
      <c r="M41"/>
      <c r="N41"/>
      <c r="O41"/>
      <c r="P41"/>
      <c r="Q41"/>
      <c r="R41"/>
      <c r="S41"/>
      <c r="T41"/>
    </row>
    <row r="42" spans="7:20" s="3" customFormat="1" ht="17.5" customHeight="1">
      <c r="K42"/>
      <c r="L42"/>
      <c r="M42"/>
      <c r="N42"/>
      <c r="O42"/>
      <c r="P42"/>
      <c r="Q42"/>
      <c r="R42"/>
      <c r="S42"/>
      <c r="T42"/>
    </row>
    <row r="43" spans="7:20" s="3" customFormat="1" ht="17.5" customHeight="1">
      <c r="K43"/>
      <c r="L43"/>
      <c r="M43"/>
      <c r="N43"/>
      <c r="O43"/>
      <c r="P43"/>
      <c r="Q43"/>
      <c r="R43"/>
      <c r="S43"/>
      <c r="T43"/>
    </row>
    <row r="44" spans="7:20" s="3" customFormat="1" ht="17.5" customHeight="1">
      <c r="K44"/>
      <c r="L44"/>
      <c r="M44"/>
      <c r="N44"/>
      <c r="O44"/>
      <c r="P44"/>
      <c r="Q44"/>
      <c r="R44"/>
      <c r="S44"/>
      <c r="T44"/>
    </row>
    <row r="45" spans="7:20" s="3" customFormat="1" ht="17.5" customHeight="1">
      <c r="K45"/>
      <c r="L45"/>
      <c r="M45"/>
      <c r="N45"/>
      <c r="O45"/>
      <c r="P45"/>
      <c r="Q45"/>
      <c r="R45"/>
      <c r="S45"/>
      <c r="T45"/>
    </row>
    <row r="46" spans="7:20" s="3" customFormat="1" ht="17.5" customHeight="1">
      <c r="K46"/>
      <c r="L46"/>
      <c r="M46"/>
      <c r="N46"/>
      <c r="O46"/>
      <c r="P46"/>
      <c r="Q46"/>
      <c r="R46"/>
      <c r="S46"/>
      <c r="T46"/>
    </row>
    <row r="47" spans="7:20" s="3" customFormat="1" ht="17.5" customHeight="1">
      <c r="K47"/>
      <c r="L47"/>
      <c r="M47"/>
      <c r="N47"/>
      <c r="O47"/>
      <c r="P47"/>
      <c r="Q47"/>
      <c r="R47"/>
      <c r="S47"/>
      <c r="T47"/>
    </row>
    <row r="48" spans="7:20" s="3" customFormat="1" ht="17.5" customHeight="1">
      <c r="K48"/>
      <c r="L48"/>
      <c r="M48"/>
      <c r="N48"/>
      <c r="O48"/>
      <c r="P48"/>
      <c r="Q48"/>
      <c r="R48"/>
      <c r="S48"/>
      <c r="T48"/>
    </row>
    <row r="49" spans="11:20" s="3" customFormat="1" ht="17.5" customHeight="1">
      <c r="K49"/>
      <c r="L49"/>
      <c r="M49"/>
      <c r="N49"/>
      <c r="O49"/>
      <c r="P49"/>
      <c r="Q49"/>
      <c r="R49"/>
      <c r="S49"/>
      <c r="T49"/>
    </row>
    <row r="50" spans="11:20" s="3" customFormat="1" ht="17.5" customHeight="1">
      <c r="K50"/>
      <c r="L50"/>
      <c r="M50"/>
      <c r="N50"/>
      <c r="O50"/>
      <c r="P50"/>
      <c r="Q50"/>
      <c r="R50"/>
      <c r="S50"/>
      <c r="T50"/>
    </row>
    <row r="51" spans="11:20" s="3" customFormat="1" ht="17.5" customHeight="1">
      <c r="K51"/>
      <c r="L51"/>
      <c r="M51"/>
      <c r="N51"/>
      <c r="O51"/>
      <c r="P51"/>
      <c r="Q51"/>
      <c r="R51"/>
      <c r="S51"/>
      <c r="T51"/>
    </row>
  </sheetData>
  <sheetProtection password="C746" sheet="1" objects="1" scenarios="1"/>
  <mergeCells count="4">
    <mergeCell ref="A2:E2"/>
    <mergeCell ref="A18:E18"/>
    <mergeCell ref="Q23:T23"/>
    <mergeCell ref="Q32:Q33"/>
  </mergeCells>
  <conditionalFormatting sqref="D12 D14 D16">
    <cfRule type="cellIs" dxfId="2" priority="1" stopIfTrue="1" operator="notEqual">
      <formula>""</formula>
    </cfRule>
  </conditionalFormatting>
  <printOptions horizontalCentered="1"/>
  <pageMargins left="0.59055118110236227" right="0.47244094488188981" top="0.78740157480314965" bottom="0.78740157480314965" header="0.51181102362204722" footer="0.51181102362204722"/>
  <pageSetup paperSize="9" scale="66" orientation="landscape" r:id="rId1"/>
  <headerFooter alignWithMargins="0">
    <oddHeader>&amp;Rédité le &amp;D à &amp;T</oddHead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53"/>
  <sheetViews>
    <sheetView showGridLines="0" zoomScale="90" zoomScaleNormal="90" workbookViewId="0">
      <selection activeCell="C7" sqref="C7"/>
    </sheetView>
  </sheetViews>
  <sheetFormatPr baseColWidth="10" defaultRowHeight="12.5"/>
  <cols>
    <col min="1" max="1" width="28.1796875" style="3" customWidth="1"/>
    <col min="2" max="2" width="11" style="3" customWidth="1"/>
    <col min="3" max="3" width="14.26953125" style="3" customWidth="1"/>
    <col min="4" max="4" width="24" style="3" customWidth="1"/>
    <col min="5" max="5" width="17.7265625" style="3" customWidth="1"/>
    <col min="6" max="8" width="11.453125" style="3" customWidth="1"/>
    <col min="9" max="9" width="13.1796875" style="3" customWidth="1"/>
    <col min="10" max="10" width="11.453125" style="3" customWidth="1"/>
    <col min="14" max="14" width="4" customWidth="1"/>
    <col min="19" max="19" width="13" customWidth="1"/>
    <col min="21" max="22" width="9.453125" customWidth="1"/>
  </cols>
  <sheetData>
    <row r="1" spans="1:17" ht="73.5" customHeight="1">
      <c r="B1" s="2"/>
      <c r="C1" s="59"/>
      <c r="D1" s="2"/>
      <c r="E1" s="60"/>
      <c r="G1" s="4"/>
    </row>
    <row r="2" spans="1:17" ht="33" customHeight="1">
      <c r="A2" s="216" t="s">
        <v>237</v>
      </c>
      <c r="B2" s="216"/>
      <c r="C2" s="216"/>
      <c r="D2" s="216"/>
      <c r="E2" s="216"/>
      <c r="G2" s="4"/>
      <c r="Q2" s="189"/>
    </row>
    <row r="3" spans="1:17" ht="20">
      <c r="A3" s="2" t="s">
        <v>236</v>
      </c>
      <c r="B3" s="2"/>
      <c r="C3" s="2"/>
      <c r="D3" s="2"/>
      <c r="E3" s="2"/>
      <c r="G3" s="4"/>
      <c r="Q3" s="189"/>
    </row>
    <row r="4" spans="1:17" ht="20.5" thickBot="1">
      <c r="A4" s="2"/>
      <c r="B4" s="2"/>
      <c r="C4" s="2"/>
      <c r="D4" s="63" t="s">
        <v>127</v>
      </c>
      <c r="E4" s="5">
        <v>600</v>
      </c>
      <c r="Q4" s="189"/>
    </row>
    <row r="5" spans="1:17" ht="15">
      <c r="A5" s="7"/>
      <c r="B5" s="8" t="s">
        <v>0</v>
      </c>
      <c r="C5" s="8" t="s">
        <v>1</v>
      </c>
      <c r="D5" s="8" t="s">
        <v>151</v>
      </c>
      <c r="E5" s="9" t="s">
        <v>150</v>
      </c>
      <c r="G5" s="6"/>
      <c r="Q5" s="189"/>
    </row>
    <row r="6" spans="1:17" ht="15.5">
      <c r="A6" s="10" t="s">
        <v>119</v>
      </c>
      <c r="B6" s="113"/>
      <c r="C6" s="154">
        <v>356</v>
      </c>
      <c r="D6" s="12">
        <f>+E6/C6</f>
        <v>260</v>
      </c>
      <c r="E6" s="53">
        <v>92560</v>
      </c>
      <c r="G6" s="73"/>
      <c r="Q6" s="189"/>
    </row>
    <row r="7" spans="1:17" ht="15.5">
      <c r="A7" s="10" t="s">
        <v>4</v>
      </c>
      <c r="B7" s="113"/>
      <c r="C7" s="115">
        <v>75</v>
      </c>
      <c r="D7" s="11">
        <v>545</v>
      </c>
      <c r="E7" s="54">
        <f>IF(C7&lt;&gt;"",D7*C7,"")</f>
        <v>40875</v>
      </c>
      <c r="Q7" s="189"/>
    </row>
    <row r="8" spans="1:17" ht="15.5">
      <c r="A8" s="10" t="s">
        <v>5</v>
      </c>
      <c r="B8" s="113"/>
      <c r="C8" s="115">
        <v>75</v>
      </c>
      <c r="D8" s="11">
        <v>545</v>
      </c>
      <c r="E8" s="54">
        <f>IF(C8&lt;&gt;"",D8*C8,"")</f>
        <v>40875</v>
      </c>
      <c r="G8" s="72"/>
    </row>
    <row r="9" spans="1:17" ht="15.5">
      <c r="A9" s="10" t="s">
        <v>242</v>
      </c>
      <c r="B9" s="113"/>
      <c r="C9" s="115">
        <v>10</v>
      </c>
      <c r="D9" s="11">
        <v>1083</v>
      </c>
      <c r="E9" s="54">
        <f>IF(C9&lt;&gt;"",D9*C9,"")</f>
        <v>10830</v>
      </c>
    </row>
    <row r="10" spans="1:17" ht="15.5">
      <c r="A10" s="10"/>
      <c r="B10" s="113"/>
      <c r="C10" s="115">
        <v>0</v>
      </c>
      <c r="D10" s="11">
        <v>0</v>
      </c>
      <c r="E10" s="54">
        <f>IF(C10&lt;&gt;"",D10*C10,"")</f>
        <v>0</v>
      </c>
    </row>
    <row r="11" spans="1:17" ht="15.5">
      <c r="A11" s="10" t="s">
        <v>249</v>
      </c>
      <c r="B11" s="122">
        <v>50</v>
      </c>
      <c r="C11" s="116">
        <f>B11*0.72</f>
        <v>36</v>
      </c>
      <c r="D11" s="11">
        <v>680</v>
      </c>
      <c r="E11" s="54">
        <f>IF(C11&lt;&gt;"",D11*C11,"")</f>
        <v>24480</v>
      </c>
    </row>
    <row r="12" spans="1:17" ht="15.5">
      <c r="A12" s="10"/>
      <c r="B12" s="113"/>
      <c r="C12" s="113"/>
      <c r="D12" s="79" t="str">
        <f>+IF(B11&gt;C23,"attention carburant MAXIMUM " &amp; ROUND(C23,0) &amp; "litres","")</f>
        <v/>
      </c>
      <c r="E12" s="54"/>
    </row>
    <row r="13" spans="1:17" ht="15">
      <c r="A13" s="13" t="s">
        <v>125</v>
      </c>
      <c r="B13" s="117"/>
      <c r="C13" s="117">
        <f>SUM(C6:C11)</f>
        <v>552</v>
      </c>
      <c r="D13" s="14">
        <f>E13/C13</f>
        <v>379.74637681159419</v>
      </c>
      <c r="E13" s="55">
        <f>SUM(E6:E11)</f>
        <v>209620</v>
      </c>
    </row>
    <row r="14" spans="1:17" s="1" customFormat="1" ht="15.5">
      <c r="A14" s="10" t="s">
        <v>16</v>
      </c>
      <c r="B14" s="151">
        <v>2</v>
      </c>
      <c r="C14" s="118" t="s">
        <v>17</v>
      </c>
      <c r="D14" s="79" t="str">
        <f>+IF(C13&gt;E4,"attention surcharge " &amp; ROUND(C13-E4,0) &amp; "kg","")</f>
        <v/>
      </c>
      <c r="E14" s="56"/>
      <c r="F14" s="15"/>
      <c r="G14" s="15"/>
      <c r="H14" s="15"/>
      <c r="I14" s="15"/>
      <c r="J14" s="15"/>
    </row>
    <row r="15" spans="1:17" ht="15.5">
      <c r="A15" s="10" t="s">
        <v>8</v>
      </c>
      <c r="B15" s="125">
        <f>-B14*D24</f>
        <v>-40</v>
      </c>
      <c r="C15" s="113">
        <f>0.72*B15</f>
        <v>-28.799999999999997</v>
      </c>
      <c r="D15" s="11">
        <f>+D11</f>
        <v>680</v>
      </c>
      <c r="E15" s="54">
        <f>IF(C15&lt;&gt;"",D15*C15,"")</f>
        <v>-19583.999999999996</v>
      </c>
    </row>
    <row r="16" spans="1:17" ht="15.5">
      <c r="A16" s="16"/>
      <c r="B16" s="119"/>
      <c r="C16" s="119"/>
      <c r="D16" s="79" t="str">
        <f>+IF(B14&gt;C24/D24,"attention autonomie MAXIMUM " &amp; ROUND(C24/D24,2) &amp; " heures","")</f>
        <v/>
      </c>
      <c r="E16" s="57"/>
    </row>
    <row r="17" spans="1:27" ht="16" thickBot="1">
      <c r="A17" s="153" t="s">
        <v>126</v>
      </c>
      <c r="B17" s="120"/>
      <c r="C17" s="120">
        <f>C13+C15</f>
        <v>523.20000000000005</v>
      </c>
      <c r="D17" s="18">
        <f>E17/C17</f>
        <v>363.21865443425071</v>
      </c>
      <c r="E17" s="58">
        <f>E13+E15</f>
        <v>190036</v>
      </c>
    </row>
    <row r="18" spans="1:27">
      <c r="A18" s="228" t="s">
        <v>29</v>
      </c>
      <c r="B18" s="228"/>
      <c r="C18" s="228"/>
      <c r="D18" s="228"/>
      <c r="E18" s="228"/>
    </row>
    <row r="19" spans="1:27" ht="13.5" customHeight="1">
      <c r="A19" s="152" t="s">
        <v>158</v>
      </c>
      <c r="B19" s="152"/>
      <c r="C19" s="152"/>
      <c r="D19" s="152"/>
      <c r="E19" s="152"/>
      <c r="G19" s="155" t="s">
        <v>248</v>
      </c>
      <c r="H19" s="156"/>
      <c r="I19" s="156"/>
      <c r="J19" s="156"/>
      <c r="K19" s="157"/>
      <c r="L19" s="157"/>
      <c r="M19" s="158"/>
    </row>
    <row r="20" spans="1:27" ht="14.25" customHeight="1">
      <c r="A20" s="19"/>
      <c r="B20" s="20"/>
      <c r="C20" s="21"/>
      <c r="G20" s="159"/>
      <c r="H20" s="138"/>
      <c r="I20" s="138"/>
      <c r="J20" s="138"/>
      <c r="K20" s="139"/>
      <c r="L20" s="139"/>
      <c r="M20" s="160"/>
    </row>
    <row r="21" spans="1:27" ht="17.5" customHeight="1">
      <c r="B21" s="46" t="s">
        <v>13</v>
      </c>
      <c r="G21" s="161" t="s">
        <v>186</v>
      </c>
      <c r="H21" s="162"/>
      <c r="I21" s="162"/>
      <c r="J21" s="163">
        <f>+D13</f>
        <v>379.74637681159419</v>
      </c>
      <c r="K21" s="139"/>
      <c r="L21" s="139"/>
      <c r="M21" s="160"/>
    </row>
    <row r="22" spans="1:27" ht="17.5" customHeight="1" thickBot="1">
      <c r="C22" s="47" t="s">
        <v>14</v>
      </c>
      <c r="D22" s="47" t="s">
        <v>47</v>
      </c>
      <c r="E22" s="47" t="s">
        <v>15</v>
      </c>
      <c r="G22" s="161" t="s">
        <v>243</v>
      </c>
      <c r="H22" s="162"/>
      <c r="I22" s="162"/>
      <c r="J22" s="164">
        <f>+J21/1250</f>
        <v>0.30379710144927535</v>
      </c>
      <c r="K22" s="165"/>
      <c r="L22" s="139"/>
      <c r="M22" s="160"/>
    </row>
    <row r="23" spans="1:27" ht="18.75" customHeight="1">
      <c r="B23" s="48" t="s">
        <v>27</v>
      </c>
      <c r="C23" s="49">
        <v>118</v>
      </c>
      <c r="D23" s="50"/>
      <c r="E23" s="51"/>
      <c r="G23" s="166" t="s">
        <v>189</v>
      </c>
      <c r="H23" s="167"/>
      <c r="I23" s="167"/>
      <c r="J23" s="168">
        <f>+D17</f>
        <v>363.21865443425071</v>
      </c>
      <c r="K23" s="169"/>
      <c r="L23" s="139"/>
      <c r="M23" s="160"/>
      <c r="Q23" s="240" t="s">
        <v>19</v>
      </c>
      <c r="R23" s="241"/>
      <c r="S23" s="241"/>
      <c r="T23" s="242"/>
      <c r="U23" s="243" t="s">
        <v>245</v>
      </c>
      <c r="V23" s="246" t="s">
        <v>246</v>
      </c>
      <c r="W23" s="244" t="s">
        <v>250</v>
      </c>
      <c r="X23" s="245"/>
      <c r="Y23" s="245"/>
      <c r="Z23" s="245"/>
      <c r="AA23" s="194"/>
    </row>
    <row r="24" spans="1:27" ht="18.75" customHeight="1">
      <c r="B24" s="48" t="s">
        <v>28</v>
      </c>
      <c r="C24" s="80">
        <f>IF(B11&gt;C23,"attention max " &amp; ROUND(C23,0) &amp; " l",B11)</f>
        <v>50</v>
      </c>
      <c r="D24" s="150">
        <v>20</v>
      </c>
      <c r="E24" s="81">
        <f>IF(C24&gt;C23,"Erreur",C24/D24*0.04166666667)</f>
        <v>0.10416666667499999</v>
      </c>
      <c r="G24" s="166" t="s">
        <v>243</v>
      </c>
      <c r="H24" s="167"/>
      <c r="I24" s="167"/>
      <c r="J24" s="170">
        <f>+J23/1250</f>
        <v>0.29057492354740055</v>
      </c>
      <c r="K24" s="169"/>
      <c r="L24" s="139"/>
      <c r="M24" s="160"/>
      <c r="Q24" s="22"/>
      <c r="R24" s="23"/>
      <c r="S24" s="143" t="s">
        <v>9</v>
      </c>
      <c r="T24" s="193" t="s">
        <v>10</v>
      </c>
      <c r="U24" s="243"/>
      <c r="V24" s="247"/>
      <c r="W24" s="244"/>
      <c r="X24" s="245"/>
      <c r="Y24" s="245"/>
      <c r="Z24" s="245"/>
      <c r="AA24" s="194"/>
    </row>
    <row r="25" spans="1:27" ht="25.5" thickBot="1">
      <c r="G25" s="171" t="s">
        <v>187</v>
      </c>
      <c r="H25" s="172"/>
      <c r="I25" s="172"/>
      <c r="J25" s="172"/>
      <c r="K25" s="173"/>
      <c r="L25" s="139"/>
      <c r="M25" s="160"/>
      <c r="Q25" s="33" t="s">
        <v>18</v>
      </c>
      <c r="R25" s="90" t="s">
        <v>20</v>
      </c>
      <c r="S25" s="195">
        <f>D6</f>
        <v>260</v>
      </c>
      <c r="T25" s="196">
        <f>C6</f>
        <v>356</v>
      </c>
      <c r="U25" s="201">
        <f t="shared" ref="U25:U35" si="0">+S25*T25/1000</f>
        <v>92.56</v>
      </c>
      <c r="V25" s="197"/>
      <c r="W25" s="198">
        <f>+S25/1250</f>
        <v>0.20799999999999999</v>
      </c>
      <c r="X25" s="212"/>
      <c r="Y25" s="212"/>
      <c r="Z25" s="212"/>
      <c r="AA25" s="194"/>
    </row>
    <row r="26" spans="1:27" ht="18.75" customHeight="1">
      <c r="B26" s="46"/>
      <c r="G26" s="174" t="s">
        <v>188</v>
      </c>
      <c r="H26" s="172"/>
      <c r="I26" s="172"/>
      <c r="J26" s="175">
        <f>+D6</f>
        <v>260</v>
      </c>
      <c r="K26" s="173"/>
      <c r="L26" s="139"/>
      <c r="M26" s="160"/>
      <c r="Q26" s="191" t="s">
        <v>247</v>
      </c>
      <c r="R26" s="85" t="s">
        <v>11</v>
      </c>
      <c r="S26" s="199">
        <v>250</v>
      </c>
      <c r="T26" s="200">
        <v>373</v>
      </c>
      <c r="U26" s="201">
        <f>+S26*T26/1000</f>
        <v>93.25</v>
      </c>
      <c r="V26" s="197">
        <v>1</v>
      </c>
      <c r="W26" s="198">
        <f t="shared" ref="W26:W35" si="1">+S26/1250</f>
        <v>0.2</v>
      </c>
      <c r="X26" s="213"/>
      <c r="Y26" s="213"/>
      <c r="Z26" s="213"/>
      <c r="AA26" s="194"/>
    </row>
    <row r="27" spans="1:27" ht="18.75" customHeight="1">
      <c r="B27" s="46"/>
      <c r="G27" s="176" t="s">
        <v>243</v>
      </c>
      <c r="H27" s="177"/>
      <c r="I27" s="177"/>
      <c r="J27" s="178">
        <f>+J26/1250</f>
        <v>0.20799999999999999</v>
      </c>
      <c r="K27" s="179" t="s">
        <v>244</v>
      </c>
      <c r="L27" s="180"/>
      <c r="M27" s="181"/>
      <c r="Q27" s="190" t="s">
        <v>247</v>
      </c>
      <c r="R27" s="29" t="s">
        <v>11</v>
      </c>
      <c r="S27" s="202">
        <v>312.5</v>
      </c>
      <c r="T27" s="203">
        <v>373</v>
      </c>
      <c r="U27" s="201">
        <f>+S27*T27/1000</f>
        <v>116.5625</v>
      </c>
      <c r="V27" s="197">
        <v>2</v>
      </c>
      <c r="W27" s="198">
        <f t="shared" si="1"/>
        <v>0.25</v>
      </c>
      <c r="X27" s="213"/>
      <c r="Y27" s="213"/>
      <c r="Z27" s="213"/>
      <c r="AA27" s="194"/>
    </row>
    <row r="28" spans="1:27" ht="18.75" customHeight="1">
      <c r="A28" s="52"/>
      <c r="Q28" s="190" t="s">
        <v>247</v>
      </c>
      <c r="R28" s="29" t="s">
        <v>11</v>
      </c>
      <c r="S28" s="202">
        <v>361.25</v>
      </c>
      <c r="T28" s="203">
        <v>398</v>
      </c>
      <c r="U28" s="201">
        <f t="shared" si="0"/>
        <v>143.7775</v>
      </c>
      <c r="V28" s="197">
        <v>3</v>
      </c>
      <c r="W28" s="198">
        <f t="shared" si="1"/>
        <v>0.28899999999999998</v>
      </c>
      <c r="X28" s="213"/>
      <c r="Y28" s="213"/>
      <c r="Z28" s="213"/>
      <c r="AA28" s="194"/>
    </row>
    <row r="29" spans="1:27" ht="18.75" customHeight="1">
      <c r="Q29" s="190" t="s">
        <v>247</v>
      </c>
      <c r="R29" s="29" t="s">
        <v>11</v>
      </c>
      <c r="S29" s="202">
        <v>400</v>
      </c>
      <c r="T29" s="248">
        <v>456</v>
      </c>
      <c r="U29" s="201">
        <f t="shared" si="0"/>
        <v>182.4</v>
      </c>
      <c r="V29" s="197">
        <v>4</v>
      </c>
      <c r="W29" s="198">
        <f t="shared" si="1"/>
        <v>0.32</v>
      </c>
      <c r="X29" s="213"/>
      <c r="Y29" s="213"/>
      <c r="Z29" s="213"/>
      <c r="AA29" s="194"/>
    </row>
    <row r="30" spans="1:27" ht="18.75" customHeight="1">
      <c r="Q30" s="190" t="s">
        <v>247</v>
      </c>
      <c r="R30" s="34" t="s">
        <v>11</v>
      </c>
      <c r="S30" s="202">
        <v>400</v>
      </c>
      <c r="T30" s="204">
        <v>600</v>
      </c>
      <c r="U30" s="201">
        <f t="shared" si="0"/>
        <v>240</v>
      </c>
      <c r="V30" s="197">
        <v>5</v>
      </c>
      <c r="W30" s="198">
        <f t="shared" si="1"/>
        <v>0.32</v>
      </c>
      <c r="X30" s="213"/>
      <c r="Y30" s="213"/>
      <c r="Z30" s="213"/>
      <c r="AA30" s="194"/>
    </row>
    <row r="31" spans="1:27" ht="18.75" customHeight="1">
      <c r="Q31" s="190" t="s">
        <v>247</v>
      </c>
      <c r="R31" s="34" t="s">
        <v>11</v>
      </c>
      <c r="S31" s="202">
        <v>373.75</v>
      </c>
      <c r="T31" s="204">
        <v>600</v>
      </c>
      <c r="U31" s="201">
        <f t="shared" si="0"/>
        <v>224.25</v>
      </c>
      <c r="V31" s="197">
        <v>6</v>
      </c>
      <c r="W31" s="198">
        <f t="shared" si="1"/>
        <v>0.29899999999999999</v>
      </c>
      <c r="X31" s="213"/>
      <c r="Y31" s="213"/>
      <c r="Z31" s="214"/>
      <c r="AA31" s="194"/>
    </row>
    <row r="32" spans="1:27" ht="18.75" customHeight="1">
      <c r="Q32" s="190" t="s">
        <v>247</v>
      </c>
      <c r="R32" s="34" t="s">
        <v>11</v>
      </c>
      <c r="S32" s="249">
        <v>332.875</v>
      </c>
      <c r="T32" s="204">
        <v>525</v>
      </c>
      <c r="U32" s="201">
        <f t="shared" si="0"/>
        <v>174.75937500000001</v>
      </c>
      <c r="V32" s="197">
        <v>7</v>
      </c>
      <c r="W32" s="250">
        <v>0.26629999999999998</v>
      </c>
      <c r="X32" s="213"/>
      <c r="Y32" s="213"/>
      <c r="Z32" s="213"/>
      <c r="AA32" s="194"/>
    </row>
    <row r="33" spans="7:27" ht="18.75" customHeight="1" thickBot="1">
      <c r="Q33" s="192" t="s">
        <v>247</v>
      </c>
      <c r="R33" s="88" t="s">
        <v>11</v>
      </c>
      <c r="S33" s="205">
        <v>250</v>
      </c>
      <c r="T33" s="206">
        <v>373</v>
      </c>
      <c r="U33" s="201">
        <f t="shared" si="0"/>
        <v>93.25</v>
      </c>
      <c r="V33" s="197">
        <v>8</v>
      </c>
      <c r="W33" s="198">
        <f t="shared" si="1"/>
        <v>0.2</v>
      </c>
      <c r="X33" s="213"/>
      <c r="Y33" s="213"/>
      <c r="Z33" s="213"/>
      <c r="AA33" s="194"/>
    </row>
    <row r="34" spans="7:27" ht="18.75" customHeight="1">
      <c r="Q34" s="226" t="s">
        <v>22</v>
      </c>
      <c r="R34" s="36" t="s">
        <v>12</v>
      </c>
      <c r="S34" s="207">
        <f>E13/C13</f>
        <v>379.74637681159419</v>
      </c>
      <c r="T34" s="208">
        <f>C13</f>
        <v>552</v>
      </c>
      <c r="U34" s="201">
        <f t="shared" si="0"/>
        <v>209.62</v>
      </c>
      <c r="V34" s="209"/>
      <c r="W34" s="198">
        <f t="shared" si="1"/>
        <v>0.30379710144927535</v>
      </c>
    </row>
    <row r="35" spans="7:27" ht="18.75" customHeight="1" thickBot="1">
      <c r="G35" s="40"/>
      <c r="H35" s="41"/>
      <c r="I35" s="41"/>
      <c r="Q35" s="227"/>
      <c r="R35" s="38" t="s">
        <v>12</v>
      </c>
      <c r="S35" s="210">
        <f>E17/C17</f>
        <v>363.21865443425071</v>
      </c>
      <c r="T35" s="211">
        <f>C17</f>
        <v>523.20000000000005</v>
      </c>
      <c r="U35" s="201">
        <f t="shared" si="0"/>
        <v>190.036</v>
      </c>
      <c r="V35" s="209"/>
      <c r="W35" s="198">
        <f t="shared" si="1"/>
        <v>0.29057492354740055</v>
      </c>
    </row>
    <row r="36" spans="7:27" s="3" customFormat="1" ht="18.75" customHeight="1">
      <c r="G36" s="40"/>
      <c r="H36" s="42"/>
      <c r="I36" s="41"/>
      <c r="K36"/>
      <c r="L36"/>
      <c r="M36"/>
      <c r="N36"/>
      <c r="O36"/>
      <c r="P36"/>
      <c r="Q36"/>
      <c r="R36"/>
      <c r="S36"/>
      <c r="T36"/>
    </row>
    <row r="37" spans="7:27" s="3" customFormat="1" ht="18.75" customHeight="1">
      <c r="K37"/>
      <c r="L37"/>
      <c r="M37"/>
      <c r="N37"/>
      <c r="O37"/>
      <c r="P37"/>
      <c r="Q37"/>
      <c r="R37"/>
      <c r="S37"/>
      <c r="T37"/>
    </row>
    <row r="38" spans="7:27" s="3" customFormat="1" ht="17.5" customHeight="1">
      <c r="K38"/>
      <c r="L38"/>
      <c r="M38"/>
      <c r="N38"/>
      <c r="O38"/>
      <c r="P38"/>
      <c r="Q38"/>
      <c r="R38"/>
      <c r="S38"/>
      <c r="T38"/>
    </row>
    <row r="39" spans="7:27" s="3" customFormat="1" ht="17.5" customHeight="1">
      <c r="G39" s="43"/>
      <c r="H39" s="44"/>
      <c r="I39" s="45"/>
      <c r="K39"/>
      <c r="L39"/>
      <c r="M39"/>
      <c r="N39"/>
      <c r="O39"/>
      <c r="P39"/>
      <c r="Q39"/>
      <c r="R39"/>
      <c r="S39"/>
      <c r="T39"/>
    </row>
    <row r="40" spans="7:27" s="3" customFormat="1" ht="17.5" customHeight="1">
      <c r="K40"/>
      <c r="L40"/>
      <c r="M40"/>
      <c r="N40"/>
      <c r="O40"/>
      <c r="P40"/>
      <c r="Q40"/>
      <c r="R40"/>
      <c r="S40"/>
      <c r="T40"/>
    </row>
    <row r="41" spans="7:27" s="3" customFormat="1" ht="17.5" customHeight="1">
      <c r="K41"/>
      <c r="L41"/>
      <c r="M41"/>
      <c r="N41"/>
      <c r="O41"/>
      <c r="P41"/>
      <c r="Q41"/>
      <c r="R41"/>
      <c r="S41"/>
      <c r="T41"/>
    </row>
    <row r="42" spans="7:27" s="3" customFormat="1" ht="17.5" customHeight="1">
      <c r="K42"/>
      <c r="L42"/>
      <c r="M42"/>
      <c r="N42"/>
      <c r="O42"/>
      <c r="P42"/>
      <c r="Q42"/>
      <c r="R42"/>
      <c r="S42"/>
      <c r="T42"/>
    </row>
    <row r="43" spans="7:27" s="3" customFormat="1" ht="17.5" customHeight="1">
      <c r="K43"/>
      <c r="L43"/>
      <c r="M43"/>
      <c r="N43"/>
      <c r="O43"/>
      <c r="P43"/>
      <c r="Q43"/>
      <c r="R43"/>
      <c r="S43"/>
      <c r="T43"/>
    </row>
    <row r="44" spans="7:27" s="3" customFormat="1" ht="17.5" customHeight="1">
      <c r="K44"/>
      <c r="L44"/>
      <c r="M44"/>
      <c r="N44"/>
      <c r="O44"/>
      <c r="P44"/>
      <c r="Q44"/>
      <c r="R44"/>
      <c r="S44"/>
      <c r="T44"/>
    </row>
    <row r="45" spans="7:27" s="3" customFormat="1" ht="17.5" customHeight="1">
      <c r="K45"/>
      <c r="L45"/>
      <c r="M45"/>
      <c r="N45"/>
      <c r="O45"/>
      <c r="P45"/>
      <c r="Q45"/>
      <c r="R45"/>
      <c r="S45"/>
      <c r="T45"/>
    </row>
    <row r="46" spans="7:27" s="3" customFormat="1" ht="17.5" customHeight="1">
      <c r="K46"/>
      <c r="L46"/>
      <c r="M46"/>
      <c r="N46"/>
      <c r="O46"/>
      <c r="P46"/>
      <c r="Q46"/>
      <c r="R46"/>
      <c r="S46"/>
      <c r="T46"/>
    </row>
    <row r="47" spans="7:27" s="3" customFormat="1" ht="17.5" customHeight="1">
      <c r="K47"/>
      <c r="L47"/>
      <c r="M47"/>
      <c r="N47"/>
      <c r="O47"/>
      <c r="P47"/>
      <c r="Q47"/>
      <c r="R47"/>
      <c r="S47"/>
      <c r="T47"/>
    </row>
    <row r="48" spans="7:27" s="3" customFormat="1" ht="17.5" customHeight="1">
      <c r="K48"/>
      <c r="L48"/>
      <c r="M48"/>
      <c r="N48"/>
      <c r="O48"/>
      <c r="P48"/>
      <c r="Q48"/>
      <c r="R48"/>
      <c r="S48"/>
      <c r="T48"/>
    </row>
    <row r="49" spans="11:20" s="3" customFormat="1" ht="17.5" customHeight="1">
      <c r="K49"/>
      <c r="L49"/>
      <c r="M49"/>
      <c r="N49"/>
      <c r="O49"/>
      <c r="P49"/>
      <c r="Q49"/>
      <c r="R49"/>
      <c r="S49"/>
      <c r="T49"/>
    </row>
    <row r="50" spans="11:20" s="3" customFormat="1" ht="17.5" customHeight="1">
      <c r="K50"/>
      <c r="L50"/>
      <c r="M50"/>
      <c r="N50"/>
      <c r="O50"/>
      <c r="P50"/>
      <c r="Q50"/>
      <c r="R50"/>
      <c r="S50"/>
      <c r="T50"/>
    </row>
    <row r="51" spans="11:20" s="3" customFormat="1" ht="17.5" customHeight="1">
      <c r="K51"/>
      <c r="L51"/>
      <c r="M51"/>
      <c r="N51"/>
      <c r="O51"/>
      <c r="P51"/>
      <c r="Q51"/>
      <c r="R51"/>
      <c r="S51"/>
      <c r="T51"/>
    </row>
    <row r="52" spans="11:20" s="3" customFormat="1" ht="17.5" customHeight="1">
      <c r="K52"/>
      <c r="L52"/>
      <c r="M52"/>
      <c r="N52"/>
      <c r="O52"/>
      <c r="P52"/>
      <c r="Q52"/>
      <c r="R52"/>
      <c r="S52"/>
      <c r="T52"/>
    </row>
    <row r="53" spans="11:20" s="3" customFormat="1" ht="17.5" customHeight="1">
      <c r="K53"/>
      <c r="L53"/>
      <c r="M53"/>
      <c r="N53"/>
      <c r="O53"/>
      <c r="P53"/>
      <c r="Q53"/>
      <c r="R53"/>
      <c r="S53"/>
      <c r="T53"/>
    </row>
  </sheetData>
  <sheetProtection password="C746" sheet="1" objects="1" scenarios="1"/>
  <mergeCells count="10">
    <mergeCell ref="W23:W24"/>
    <mergeCell ref="X23:X24"/>
    <mergeCell ref="Y23:Y24"/>
    <mergeCell ref="Z23:Z24"/>
    <mergeCell ref="V23:V24"/>
    <mergeCell ref="A2:E2"/>
    <mergeCell ref="A18:E18"/>
    <mergeCell ref="Q23:T23"/>
    <mergeCell ref="Q34:Q35"/>
    <mergeCell ref="U23:U24"/>
  </mergeCells>
  <conditionalFormatting sqref="D12 D14 D16">
    <cfRule type="cellIs" dxfId="1" priority="1" stopIfTrue="1" operator="notEqual">
      <formula>""</formula>
    </cfRule>
  </conditionalFormatting>
  <printOptions horizontalCentered="1"/>
  <pageMargins left="0.59055118110236227" right="0.47244094488188981" top="0.78740157480314965" bottom="0.78740157480314965" header="0.51181102362204722" footer="0.51181102362204722"/>
  <pageSetup paperSize="9" scale="72" orientation="landscape" horizontalDpi="4294967293" r:id="rId1"/>
  <headerFooter alignWithMargins="0">
    <oddHeader>&amp;Rédité le &amp;D à &amp;T</oddHeader>
  </headerFooter>
  <ignoredErrors>
    <ignoredError sqref="J23" formula="1"/>
  </ignoredError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53"/>
  <sheetViews>
    <sheetView showGridLines="0" tabSelected="1" zoomScale="90" zoomScaleNormal="90" workbookViewId="0">
      <selection activeCell="W32" sqref="W32"/>
    </sheetView>
  </sheetViews>
  <sheetFormatPr baseColWidth="10" defaultRowHeight="12.5"/>
  <cols>
    <col min="1" max="1" width="28.1796875" style="3" customWidth="1"/>
    <col min="2" max="2" width="11" style="3" customWidth="1"/>
    <col min="3" max="3" width="14.26953125" style="3" customWidth="1"/>
    <col min="4" max="4" width="24" style="3" customWidth="1"/>
    <col min="5" max="5" width="17.7265625" style="3" customWidth="1"/>
    <col min="6" max="8" width="11.453125" style="3" customWidth="1"/>
    <col min="9" max="9" width="13.1796875" style="3" customWidth="1"/>
    <col min="10" max="10" width="11.453125" style="3" customWidth="1"/>
    <col min="14" max="14" width="4" customWidth="1"/>
    <col min="19" max="19" width="13" customWidth="1"/>
    <col min="21" max="22" width="9.453125" customWidth="1"/>
  </cols>
  <sheetData>
    <row r="1" spans="1:17" ht="73.5" customHeight="1">
      <c r="B1" s="2"/>
      <c r="C1" s="59"/>
      <c r="D1" s="2"/>
      <c r="E1" s="60"/>
      <c r="G1" s="4"/>
    </row>
    <row r="2" spans="1:17" ht="33" customHeight="1">
      <c r="A2" s="216" t="s">
        <v>257</v>
      </c>
      <c r="B2" s="216"/>
      <c r="C2" s="216"/>
      <c r="D2" s="216"/>
      <c r="E2" s="216"/>
      <c r="G2" s="4"/>
      <c r="Q2" s="189"/>
    </row>
    <row r="3" spans="1:17" ht="20">
      <c r="A3" s="2" t="s">
        <v>258</v>
      </c>
      <c r="B3" s="2"/>
      <c r="C3" s="2"/>
      <c r="D3" s="2"/>
      <c r="E3" s="2"/>
      <c r="G3" s="4"/>
      <c r="Q3" s="189"/>
    </row>
    <row r="4" spans="1:17" ht="20.5" thickBot="1">
      <c r="A4" s="2"/>
      <c r="B4" s="2"/>
      <c r="C4" s="2"/>
      <c r="D4" s="63" t="s">
        <v>127</v>
      </c>
      <c r="E4" s="5">
        <v>600</v>
      </c>
      <c r="Q4" s="189"/>
    </row>
    <row r="5" spans="1:17" ht="15">
      <c r="A5" s="7"/>
      <c r="B5" s="8" t="s">
        <v>0</v>
      </c>
      <c r="C5" s="8" t="s">
        <v>1</v>
      </c>
      <c r="D5" s="8" t="s">
        <v>151</v>
      </c>
      <c r="E5" s="9" t="s">
        <v>150</v>
      </c>
      <c r="G5" s="6"/>
      <c r="Q5" s="189"/>
    </row>
    <row r="6" spans="1:17" ht="15.5">
      <c r="A6" s="10" t="s">
        <v>119</v>
      </c>
      <c r="B6" s="113"/>
      <c r="C6" s="154">
        <v>357.9</v>
      </c>
      <c r="D6" s="12">
        <v>255.29</v>
      </c>
      <c r="E6" s="53">
        <f>+C6*D6</f>
        <v>91368.290999999997</v>
      </c>
      <c r="G6" s="73"/>
      <c r="Q6" s="189"/>
    </row>
    <row r="7" spans="1:17" ht="15.5">
      <c r="A7" s="10" t="s">
        <v>4</v>
      </c>
      <c r="B7" s="113"/>
      <c r="C7" s="115">
        <v>75</v>
      </c>
      <c r="D7" s="11">
        <v>545</v>
      </c>
      <c r="E7" s="54">
        <f>IF(C7&lt;&gt;"",D7*C7,"")</f>
        <v>40875</v>
      </c>
      <c r="Q7" s="189"/>
    </row>
    <row r="8" spans="1:17" ht="15.5">
      <c r="A8" s="10" t="s">
        <v>5</v>
      </c>
      <c r="B8" s="113"/>
      <c r="C8" s="115">
        <v>75</v>
      </c>
      <c r="D8" s="11">
        <v>545</v>
      </c>
      <c r="E8" s="54">
        <f>IF(C8&lt;&gt;"",D8*C8,"")</f>
        <v>40875</v>
      </c>
      <c r="G8" s="72"/>
    </row>
    <row r="9" spans="1:17" ht="15.5">
      <c r="A9" s="10" t="s">
        <v>242</v>
      </c>
      <c r="B9" s="113"/>
      <c r="C9" s="115">
        <v>10</v>
      </c>
      <c r="D9" s="11">
        <v>1083</v>
      </c>
      <c r="E9" s="54">
        <f>IF(C9&lt;&gt;"",D9*C9,"")</f>
        <v>10830</v>
      </c>
    </row>
    <row r="10" spans="1:17" ht="15.5">
      <c r="A10" s="10"/>
      <c r="B10" s="113"/>
      <c r="C10" s="115">
        <v>0</v>
      </c>
      <c r="D10" s="11">
        <v>0</v>
      </c>
      <c r="E10" s="54">
        <f>IF(C10&lt;&gt;"",D10*C10,"")</f>
        <v>0</v>
      </c>
    </row>
    <row r="11" spans="1:17" ht="15.5">
      <c r="A11" s="10" t="s">
        <v>249</v>
      </c>
      <c r="B11" s="122">
        <v>50</v>
      </c>
      <c r="C11" s="116">
        <f>B11*0.72</f>
        <v>36</v>
      </c>
      <c r="D11" s="11">
        <v>680</v>
      </c>
      <c r="E11" s="54">
        <f>IF(C11&lt;&gt;"",D11*C11,"")</f>
        <v>24480</v>
      </c>
    </row>
    <row r="12" spans="1:17" ht="15.5">
      <c r="A12" s="10"/>
      <c r="B12" s="113"/>
      <c r="C12" s="113"/>
      <c r="D12" s="79" t="str">
        <f>+IF(B11&gt;C23,"attention carburant MAXIMUM " &amp; ROUND(C23,0) &amp; "litres","")</f>
        <v/>
      </c>
      <c r="E12" s="54"/>
    </row>
    <row r="13" spans="1:17" ht="15">
      <c r="A13" s="13" t="s">
        <v>125</v>
      </c>
      <c r="B13" s="117"/>
      <c r="C13" s="117">
        <f>SUM(C6:C11)</f>
        <v>553.9</v>
      </c>
      <c r="D13" s="14">
        <f>E13/C13</f>
        <v>376.29227477884098</v>
      </c>
      <c r="E13" s="55">
        <f>SUM(E6:E11)</f>
        <v>208428.291</v>
      </c>
    </row>
    <row r="14" spans="1:17" s="1" customFormat="1" ht="15.5">
      <c r="A14" s="10" t="s">
        <v>16</v>
      </c>
      <c r="B14" s="151">
        <v>2</v>
      </c>
      <c r="C14" s="118" t="s">
        <v>17</v>
      </c>
      <c r="D14" s="79" t="str">
        <f>+IF(C13&gt;E4,"attention surcharge " &amp; ROUND(C13-E4,0) &amp; "kg","")</f>
        <v/>
      </c>
      <c r="E14" s="56"/>
      <c r="F14" s="15"/>
      <c r="G14" s="15"/>
      <c r="H14" s="15"/>
      <c r="I14" s="15"/>
      <c r="J14" s="15"/>
    </row>
    <row r="15" spans="1:17" ht="15.5">
      <c r="A15" s="10" t="s">
        <v>8</v>
      </c>
      <c r="B15" s="125">
        <f>-B14*D24</f>
        <v>-40</v>
      </c>
      <c r="C15" s="113">
        <f>0.72*B15</f>
        <v>-28.799999999999997</v>
      </c>
      <c r="D15" s="11">
        <f>+D11</f>
        <v>680</v>
      </c>
      <c r="E15" s="54">
        <f>IF(C15&lt;&gt;"",D15*C15,"")</f>
        <v>-19583.999999999996</v>
      </c>
    </row>
    <row r="16" spans="1:17" ht="15.5">
      <c r="A16" s="16"/>
      <c r="B16" s="119"/>
      <c r="C16" s="119"/>
      <c r="D16" s="79" t="str">
        <f>+IF(B14&gt;C24/D24,"attention autonomie MAXIMUM " &amp; ROUND(C24/D24,2) &amp; " heures","")</f>
        <v/>
      </c>
      <c r="E16" s="57"/>
    </row>
    <row r="17" spans="1:27" ht="16" thickBot="1">
      <c r="A17" s="153" t="s">
        <v>126</v>
      </c>
      <c r="B17" s="120"/>
      <c r="C17" s="120">
        <f>C13+C15</f>
        <v>525.1</v>
      </c>
      <c r="D17" s="18">
        <f>E17/C17</f>
        <v>359.6349095410398</v>
      </c>
      <c r="E17" s="58">
        <f>E13+E15</f>
        <v>188844.291</v>
      </c>
    </row>
    <row r="18" spans="1:27">
      <c r="A18" s="228" t="s">
        <v>29</v>
      </c>
      <c r="B18" s="228"/>
      <c r="C18" s="228"/>
      <c r="D18" s="228"/>
      <c r="E18" s="228"/>
    </row>
    <row r="19" spans="1:27" ht="13.5" customHeight="1">
      <c r="A19" s="152" t="s">
        <v>158</v>
      </c>
      <c r="B19" s="152"/>
      <c r="C19" s="152"/>
      <c r="D19" s="152"/>
      <c r="E19" s="152"/>
      <c r="G19" s="155" t="s">
        <v>248</v>
      </c>
      <c r="H19" s="156"/>
      <c r="I19" s="156"/>
      <c r="J19" s="156"/>
      <c r="K19" s="157"/>
      <c r="L19" s="157"/>
      <c r="M19" s="158"/>
    </row>
    <row r="20" spans="1:27" ht="14.25" customHeight="1">
      <c r="A20" s="19"/>
      <c r="B20" s="20"/>
      <c r="C20" s="21"/>
      <c r="G20" s="159"/>
      <c r="H20" s="138"/>
      <c r="I20" s="138"/>
      <c r="J20" s="138"/>
      <c r="K20" s="139"/>
      <c r="L20" s="139"/>
      <c r="M20" s="160"/>
    </row>
    <row r="21" spans="1:27" ht="17.5" customHeight="1">
      <c r="B21" s="46" t="s">
        <v>13</v>
      </c>
      <c r="G21" s="161" t="s">
        <v>186</v>
      </c>
      <c r="H21" s="162"/>
      <c r="I21" s="162"/>
      <c r="J21" s="163">
        <f>+D13</f>
        <v>376.29227477884098</v>
      </c>
      <c r="K21" s="139"/>
      <c r="L21" s="139"/>
      <c r="M21" s="160"/>
    </row>
    <row r="22" spans="1:27" ht="17.5" customHeight="1" thickBot="1">
      <c r="C22" s="47" t="s">
        <v>14</v>
      </c>
      <c r="D22" s="47" t="s">
        <v>47</v>
      </c>
      <c r="E22" s="47" t="s">
        <v>15</v>
      </c>
      <c r="G22" s="161" t="s">
        <v>243</v>
      </c>
      <c r="H22" s="162"/>
      <c r="I22" s="162"/>
      <c r="J22" s="164">
        <f>+J21/1250</f>
        <v>0.30103381982307276</v>
      </c>
      <c r="K22" s="165"/>
      <c r="L22" s="139"/>
      <c r="M22" s="160"/>
    </row>
    <row r="23" spans="1:27" ht="18.75" customHeight="1">
      <c r="B23" s="48" t="s">
        <v>27</v>
      </c>
      <c r="C23" s="49">
        <v>118</v>
      </c>
      <c r="D23" s="50"/>
      <c r="E23" s="51"/>
      <c r="G23" s="166" t="s">
        <v>189</v>
      </c>
      <c r="H23" s="167"/>
      <c r="I23" s="167"/>
      <c r="J23" s="168">
        <f>+D17</f>
        <v>359.6349095410398</v>
      </c>
      <c r="K23" s="169"/>
      <c r="L23" s="139"/>
      <c r="M23" s="160"/>
      <c r="Q23" s="240" t="s">
        <v>19</v>
      </c>
      <c r="R23" s="241"/>
      <c r="S23" s="241"/>
      <c r="T23" s="242"/>
      <c r="U23" s="243" t="s">
        <v>245</v>
      </c>
      <c r="V23" s="246" t="s">
        <v>246</v>
      </c>
      <c r="W23" s="244" t="s">
        <v>250</v>
      </c>
      <c r="X23" s="245"/>
      <c r="Y23" s="245"/>
      <c r="Z23" s="245"/>
      <c r="AA23" s="194"/>
    </row>
    <row r="24" spans="1:27" ht="18.75" customHeight="1">
      <c r="B24" s="48" t="s">
        <v>28</v>
      </c>
      <c r="C24" s="80">
        <f>IF(B11&gt;C23,"attention max " &amp; ROUND(C23,0) &amp; " l",B11)</f>
        <v>50</v>
      </c>
      <c r="D24" s="150">
        <v>20</v>
      </c>
      <c r="E24" s="81">
        <f>IF(C24&gt;C23,"Erreur",C24/D24*0.04166666667)</f>
        <v>0.10416666667499999</v>
      </c>
      <c r="G24" s="166" t="s">
        <v>243</v>
      </c>
      <c r="H24" s="167"/>
      <c r="I24" s="167"/>
      <c r="J24" s="170">
        <f>+J23/1250</f>
        <v>0.28770792763283182</v>
      </c>
      <c r="K24" s="169"/>
      <c r="L24" s="139"/>
      <c r="M24" s="160"/>
      <c r="Q24" s="22"/>
      <c r="R24" s="23"/>
      <c r="S24" s="143" t="s">
        <v>9</v>
      </c>
      <c r="T24" s="193" t="s">
        <v>10</v>
      </c>
      <c r="U24" s="243"/>
      <c r="V24" s="247"/>
      <c r="W24" s="244"/>
      <c r="X24" s="245"/>
      <c r="Y24" s="245"/>
      <c r="Z24" s="245"/>
      <c r="AA24" s="194"/>
    </row>
    <row r="25" spans="1:27" ht="25.5" thickBot="1">
      <c r="G25" s="171" t="s">
        <v>187</v>
      </c>
      <c r="H25" s="172"/>
      <c r="I25" s="172"/>
      <c r="J25" s="172"/>
      <c r="K25" s="173"/>
      <c r="L25" s="139"/>
      <c r="M25" s="160"/>
      <c r="Q25" s="33" t="s">
        <v>18</v>
      </c>
      <c r="R25" s="90" t="s">
        <v>20</v>
      </c>
      <c r="S25" s="195">
        <f>D6</f>
        <v>255.29</v>
      </c>
      <c r="T25" s="196">
        <f>C6</f>
        <v>357.9</v>
      </c>
      <c r="U25" s="201">
        <f t="shared" ref="U25:U35" si="0">+S25*T25/1000</f>
        <v>91.368290999999999</v>
      </c>
      <c r="V25" s="197"/>
      <c r="W25" s="198">
        <f>+S25/1250</f>
        <v>0.204232</v>
      </c>
      <c r="X25" s="212"/>
      <c r="Y25" s="212"/>
      <c r="Z25" s="212"/>
      <c r="AA25" s="194"/>
    </row>
    <row r="26" spans="1:27" ht="18.75" customHeight="1">
      <c r="B26" s="46"/>
      <c r="G26" s="174" t="s">
        <v>188</v>
      </c>
      <c r="H26" s="172"/>
      <c r="I26" s="172"/>
      <c r="J26" s="175">
        <f>+D6</f>
        <v>255.29</v>
      </c>
      <c r="K26" s="173"/>
      <c r="L26" s="139"/>
      <c r="M26" s="160"/>
      <c r="Q26" s="191" t="s">
        <v>247</v>
      </c>
      <c r="R26" s="85" t="s">
        <v>11</v>
      </c>
      <c r="S26" s="199">
        <v>250</v>
      </c>
      <c r="T26" s="200">
        <v>373</v>
      </c>
      <c r="U26" s="201">
        <f>+S26*T26/1000</f>
        <v>93.25</v>
      </c>
      <c r="V26" s="197">
        <v>1</v>
      </c>
      <c r="W26" s="198">
        <f t="shared" ref="W26:W35" si="1">+S26/1250</f>
        <v>0.2</v>
      </c>
      <c r="X26" s="213"/>
      <c r="Y26" s="213"/>
      <c r="Z26" s="213"/>
      <c r="AA26" s="194"/>
    </row>
    <row r="27" spans="1:27" ht="18.75" customHeight="1">
      <c r="B27" s="46"/>
      <c r="G27" s="176" t="s">
        <v>243</v>
      </c>
      <c r="H27" s="177"/>
      <c r="I27" s="177"/>
      <c r="J27" s="178">
        <f>+J26/1250</f>
        <v>0.204232</v>
      </c>
      <c r="K27" s="179" t="s">
        <v>244</v>
      </c>
      <c r="L27" s="180"/>
      <c r="M27" s="181"/>
      <c r="Q27" s="190" t="s">
        <v>247</v>
      </c>
      <c r="R27" s="29" t="s">
        <v>11</v>
      </c>
      <c r="S27" s="202">
        <v>312.5</v>
      </c>
      <c r="T27" s="203">
        <v>373</v>
      </c>
      <c r="U27" s="201">
        <f>+S27*T27/1000</f>
        <v>116.5625</v>
      </c>
      <c r="V27" s="197">
        <v>2</v>
      </c>
      <c r="W27" s="198">
        <f t="shared" si="1"/>
        <v>0.25</v>
      </c>
      <c r="X27" s="213"/>
      <c r="Y27" s="213"/>
      <c r="Z27" s="213"/>
      <c r="AA27" s="194"/>
    </row>
    <row r="28" spans="1:27" ht="18.75" customHeight="1">
      <c r="A28" s="52"/>
      <c r="Q28" s="190" t="s">
        <v>247</v>
      </c>
      <c r="R28" s="29" t="s">
        <v>11</v>
      </c>
      <c r="S28" s="202">
        <v>361.25</v>
      </c>
      <c r="T28" s="203">
        <v>398</v>
      </c>
      <c r="U28" s="201">
        <f t="shared" si="0"/>
        <v>143.7775</v>
      </c>
      <c r="V28" s="197">
        <v>3</v>
      </c>
      <c r="W28" s="198">
        <f t="shared" si="1"/>
        <v>0.28899999999999998</v>
      </c>
      <c r="X28" s="213"/>
      <c r="Y28" s="213"/>
      <c r="Z28" s="213"/>
      <c r="AA28" s="194"/>
    </row>
    <row r="29" spans="1:27" ht="18.75" customHeight="1">
      <c r="Q29" s="190" t="s">
        <v>247</v>
      </c>
      <c r="R29" s="29" t="s">
        <v>11</v>
      </c>
      <c r="S29" s="202">
        <v>400</v>
      </c>
      <c r="T29" s="248">
        <v>456</v>
      </c>
      <c r="U29" s="201">
        <f t="shared" si="0"/>
        <v>182.4</v>
      </c>
      <c r="V29" s="197">
        <v>4</v>
      </c>
      <c r="W29" s="198">
        <f t="shared" si="1"/>
        <v>0.32</v>
      </c>
      <c r="X29" s="213"/>
      <c r="Y29" s="213"/>
      <c r="Z29" s="213"/>
      <c r="AA29" s="194"/>
    </row>
    <row r="30" spans="1:27" ht="18.75" customHeight="1">
      <c r="Q30" s="190" t="s">
        <v>247</v>
      </c>
      <c r="R30" s="34" t="s">
        <v>11</v>
      </c>
      <c r="S30" s="202">
        <v>400</v>
      </c>
      <c r="T30" s="204">
        <v>600</v>
      </c>
      <c r="U30" s="201">
        <f t="shared" si="0"/>
        <v>240</v>
      </c>
      <c r="V30" s="197">
        <v>5</v>
      </c>
      <c r="W30" s="198">
        <f t="shared" si="1"/>
        <v>0.32</v>
      </c>
      <c r="X30" s="213"/>
      <c r="Y30" s="213"/>
      <c r="Z30" s="213"/>
      <c r="AA30" s="194"/>
    </row>
    <row r="31" spans="1:27" ht="18.75" customHeight="1">
      <c r="Q31" s="190" t="s">
        <v>247</v>
      </c>
      <c r="R31" s="34" t="s">
        <v>11</v>
      </c>
      <c r="S31" s="202">
        <v>373.75</v>
      </c>
      <c r="T31" s="204">
        <v>600</v>
      </c>
      <c r="U31" s="201">
        <f t="shared" si="0"/>
        <v>224.25</v>
      </c>
      <c r="V31" s="197">
        <v>6</v>
      </c>
      <c r="W31" s="198">
        <f t="shared" si="1"/>
        <v>0.29899999999999999</v>
      </c>
      <c r="X31" s="213"/>
      <c r="Y31" s="213"/>
      <c r="Z31" s="214"/>
      <c r="AA31" s="194"/>
    </row>
    <row r="32" spans="1:27" ht="18.75" customHeight="1">
      <c r="Q32" s="190" t="s">
        <v>247</v>
      </c>
      <c r="R32" s="34" t="s">
        <v>11</v>
      </c>
      <c r="S32" s="249">
        <v>332.875</v>
      </c>
      <c r="T32" s="204">
        <v>525</v>
      </c>
      <c r="U32" s="201">
        <f t="shared" si="0"/>
        <v>174.75937500000001</v>
      </c>
      <c r="V32" s="197">
        <v>7</v>
      </c>
      <c r="W32" s="250">
        <v>0.26629999999999998</v>
      </c>
      <c r="X32" s="213"/>
      <c r="Y32" s="213"/>
      <c r="Z32" s="213"/>
      <c r="AA32" s="194"/>
    </row>
    <row r="33" spans="7:27" ht="18.75" customHeight="1" thickBot="1">
      <c r="Q33" s="192" t="s">
        <v>247</v>
      </c>
      <c r="R33" s="88" t="s">
        <v>11</v>
      </c>
      <c r="S33" s="205">
        <v>250</v>
      </c>
      <c r="T33" s="206">
        <v>373</v>
      </c>
      <c r="U33" s="201">
        <f t="shared" si="0"/>
        <v>93.25</v>
      </c>
      <c r="V33" s="197">
        <v>8</v>
      </c>
      <c r="W33" s="198">
        <f t="shared" si="1"/>
        <v>0.2</v>
      </c>
      <c r="X33" s="213"/>
      <c r="Y33" s="213"/>
      <c r="Z33" s="213"/>
      <c r="AA33" s="194"/>
    </row>
    <row r="34" spans="7:27" ht="18.75" customHeight="1">
      <c r="Q34" s="226" t="s">
        <v>22</v>
      </c>
      <c r="R34" s="36" t="s">
        <v>12</v>
      </c>
      <c r="S34" s="207">
        <f>E13/C13</f>
        <v>376.29227477884098</v>
      </c>
      <c r="T34" s="208">
        <f>C13</f>
        <v>553.9</v>
      </c>
      <c r="U34" s="201">
        <f t="shared" si="0"/>
        <v>208.428291</v>
      </c>
      <c r="V34" s="209"/>
      <c r="W34" s="198">
        <f t="shared" si="1"/>
        <v>0.30103381982307276</v>
      </c>
    </row>
    <row r="35" spans="7:27" ht="18.75" customHeight="1" thickBot="1">
      <c r="G35" s="40"/>
      <c r="H35" s="41"/>
      <c r="I35" s="41"/>
      <c r="Q35" s="227"/>
      <c r="R35" s="38" t="s">
        <v>12</v>
      </c>
      <c r="S35" s="210">
        <f>E17/C17</f>
        <v>359.6349095410398</v>
      </c>
      <c r="T35" s="211">
        <f>C17</f>
        <v>525.1</v>
      </c>
      <c r="U35" s="201">
        <f t="shared" si="0"/>
        <v>188.844291</v>
      </c>
      <c r="V35" s="209"/>
      <c r="W35" s="198">
        <f t="shared" si="1"/>
        <v>0.28770792763283182</v>
      </c>
    </row>
    <row r="36" spans="7:27" s="3" customFormat="1" ht="18.75" customHeight="1">
      <c r="G36" s="40"/>
      <c r="H36" s="42"/>
      <c r="I36" s="41"/>
      <c r="K36"/>
      <c r="L36"/>
      <c r="M36"/>
      <c r="N36"/>
      <c r="O36"/>
      <c r="P36"/>
      <c r="Q36"/>
      <c r="R36"/>
      <c r="S36"/>
      <c r="T36"/>
    </row>
    <row r="37" spans="7:27" s="3" customFormat="1" ht="18.75" customHeight="1">
      <c r="K37"/>
      <c r="L37"/>
      <c r="M37"/>
      <c r="N37"/>
      <c r="O37"/>
      <c r="P37"/>
      <c r="Q37"/>
      <c r="R37"/>
      <c r="S37"/>
      <c r="T37"/>
    </row>
    <row r="38" spans="7:27" s="3" customFormat="1" ht="17.5" customHeight="1">
      <c r="K38"/>
      <c r="L38"/>
      <c r="M38"/>
      <c r="N38"/>
      <c r="O38"/>
      <c r="P38"/>
      <c r="Q38"/>
      <c r="R38"/>
      <c r="S38"/>
      <c r="T38"/>
    </row>
    <row r="39" spans="7:27" s="3" customFormat="1" ht="17.5" customHeight="1">
      <c r="G39" s="43"/>
      <c r="H39" s="44"/>
      <c r="I39" s="45"/>
      <c r="K39"/>
      <c r="L39"/>
      <c r="M39"/>
      <c r="N39"/>
      <c r="O39"/>
      <c r="P39"/>
      <c r="Q39"/>
      <c r="R39"/>
      <c r="S39"/>
      <c r="T39"/>
    </row>
    <row r="40" spans="7:27" s="3" customFormat="1" ht="17.5" customHeight="1">
      <c r="K40"/>
      <c r="L40"/>
      <c r="M40"/>
      <c r="N40"/>
      <c r="O40"/>
      <c r="P40"/>
      <c r="Q40"/>
      <c r="R40"/>
      <c r="S40"/>
      <c r="T40"/>
    </row>
    <row r="41" spans="7:27" s="3" customFormat="1" ht="17.5" customHeight="1">
      <c r="K41"/>
      <c r="L41"/>
      <c r="M41"/>
      <c r="N41"/>
      <c r="O41"/>
      <c r="P41"/>
      <c r="Q41"/>
      <c r="R41"/>
      <c r="S41"/>
      <c r="T41"/>
    </row>
    <row r="42" spans="7:27" s="3" customFormat="1" ht="17.5" customHeight="1">
      <c r="K42"/>
      <c r="L42"/>
      <c r="M42"/>
      <c r="N42"/>
      <c r="O42"/>
      <c r="P42"/>
      <c r="Q42"/>
      <c r="R42"/>
      <c r="S42"/>
      <c r="T42"/>
    </row>
    <row r="43" spans="7:27" s="3" customFormat="1" ht="17.5" customHeight="1">
      <c r="K43"/>
      <c r="L43"/>
      <c r="M43"/>
      <c r="N43"/>
      <c r="O43"/>
      <c r="P43"/>
      <c r="Q43"/>
      <c r="R43"/>
      <c r="S43"/>
      <c r="T43"/>
    </row>
    <row r="44" spans="7:27" s="3" customFormat="1" ht="17.5" customHeight="1">
      <c r="K44"/>
      <c r="L44"/>
      <c r="M44"/>
      <c r="N44"/>
      <c r="O44"/>
      <c r="P44"/>
      <c r="Q44"/>
      <c r="R44"/>
      <c r="S44"/>
      <c r="T44"/>
    </row>
    <row r="45" spans="7:27" s="3" customFormat="1" ht="17.5" customHeight="1">
      <c r="K45"/>
      <c r="L45"/>
      <c r="M45"/>
      <c r="N45"/>
      <c r="O45"/>
      <c r="P45"/>
      <c r="Q45"/>
      <c r="R45"/>
      <c r="S45"/>
      <c r="T45"/>
    </row>
    <row r="46" spans="7:27" s="3" customFormat="1" ht="17.5" customHeight="1">
      <c r="K46"/>
      <c r="L46"/>
      <c r="M46"/>
      <c r="N46"/>
      <c r="O46"/>
      <c r="P46"/>
      <c r="Q46"/>
      <c r="R46"/>
      <c r="S46"/>
      <c r="T46"/>
    </row>
    <row r="47" spans="7:27" s="3" customFormat="1" ht="17.5" customHeight="1">
      <c r="K47"/>
      <c r="L47"/>
      <c r="M47"/>
      <c r="N47"/>
      <c r="O47"/>
      <c r="P47"/>
      <c r="Q47"/>
      <c r="R47"/>
      <c r="S47"/>
      <c r="T47"/>
    </row>
    <row r="48" spans="7:27" s="3" customFormat="1" ht="17.5" customHeight="1">
      <c r="K48"/>
      <c r="L48"/>
      <c r="M48"/>
      <c r="N48"/>
      <c r="O48"/>
      <c r="P48"/>
      <c r="Q48"/>
      <c r="R48"/>
      <c r="S48"/>
      <c r="T48"/>
    </row>
    <row r="49" spans="11:20" s="3" customFormat="1" ht="17.5" customHeight="1">
      <c r="K49"/>
      <c r="L49"/>
      <c r="M49"/>
      <c r="N49"/>
      <c r="O49"/>
      <c r="P49"/>
      <c r="Q49"/>
      <c r="R49"/>
      <c r="S49"/>
      <c r="T49"/>
    </row>
    <row r="50" spans="11:20" s="3" customFormat="1" ht="17.5" customHeight="1">
      <c r="K50"/>
      <c r="L50"/>
      <c r="M50"/>
      <c r="N50"/>
      <c r="O50"/>
      <c r="P50"/>
      <c r="Q50"/>
      <c r="R50"/>
      <c r="S50"/>
      <c r="T50"/>
    </row>
    <row r="51" spans="11:20" s="3" customFormat="1" ht="17.5" customHeight="1">
      <c r="K51"/>
      <c r="L51"/>
      <c r="M51"/>
      <c r="N51"/>
      <c r="O51"/>
      <c r="P51"/>
      <c r="Q51"/>
      <c r="R51"/>
      <c r="S51"/>
      <c r="T51"/>
    </row>
    <row r="52" spans="11:20" s="3" customFormat="1" ht="17.5" customHeight="1">
      <c r="K52"/>
      <c r="L52"/>
      <c r="M52"/>
      <c r="N52"/>
      <c r="O52"/>
      <c r="P52"/>
      <c r="Q52"/>
      <c r="R52"/>
      <c r="S52"/>
      <c r="T52"/>
    </row>
    <row r="53" spans="11:20" s="3" customFormat="1" ht="17.5" customHeight="1">
      <c r="K53"/>
      <c r="L53"/>
      <c r="M53"/>
      <c r="N53"/>
      <c r="O53"/>
      <c r="P53"/>
      <c r="Q53"/>
      <c r="R53"/>
      <c r="S53"/>
      <c r="T53"/>
    </row>
  </sheetData>
  <sheetProtection password="C746" sheet="1" objects="1" scenarios="1"/>
  <mergeCells count="10">
    <mergeCell ref="X23:X24"/>
    <mergeCell ref="Y23:Y24"/>
    <mergeCell ref="Z23:Z24"/>
    <mergeCell ref="Q34:Q35"/>
    <mergeCell ref="A2:E2"/>
    <mergeCell ref="A18:E18"/>
    <mergeCell ref="Q23:T23"/>
    <mergeCell ref="U23:U24"/>
    <mergeCell ref="V23:V24"/>
    <mergeCell ref="W23:W24"/>
  </mergeCells>
  <conditionalFormatting sqref="D12 D14 D16">
    <cfRule type="cellIs" dxfId="0" priority="1" stopIfTrue="1" operator="notEqual">
      <formula>""</formula>
    </cfRule>
  </conditionalFormatting>
  <printOptions horizontalCentered="1"/>
  <pageMargins left="0.59055118110236227" right="0.47244094488188981" top="0.78740157480314965" bottom="0.78740157480314965" header="0.51181102362204722" footer="0.51181102362204722"/>
  <pageSetup paperSize="9" scale="72" orientation="landscape" horizontalDpi="4294967293" r:id="rId1"/>
  <headerFooter alignWithMargins="0">
    <oddHeader>&amp;Rédité le &amp;D à &amp;T</oddHead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 codeName="Feuil3" enableFormatConditionsCalculation="0">
    <pageSetUpPr fitToPage="1"/>
  </sheetPr>
  <dimension ref="A1:G100"/>
  <sheetViews>
    <sheetView showGridLines="0" workbookViewId="0">
      <pane ySplit="2" topLeftCell="A88" activePane="bottomLeft" state="frozen"/>
      <selection pane="bottomLeft" activeCell="A97" sqref="A97"/>
    </sheetView>
  </sheetViews>
  <sheetFormatPr baseColWidth="10" defaultColWidth="11.453125" defaultRowHeight="12.5"/>
  <cols>
    <col min="1" max="1" width="127.453125" style="3" customWidth="1"/>
    <col min="2" max="2" width="10.7265625" style="3" customWidth="1"/>
    <col min="3" max="3" width="28" style="3" customWidth="1"/>
    <col min="4" max="4" width="11.7265625" style="3" customWidth="1"/>
    <col min="5" max="5" width="17.81640625" style="3" customWidth="1"/>
    <col min="6" max="6" width="19.26953125" style="3" customWidth="1"/>
    <col min="7" max="16384" width="11.453125" style="3"/>
  </cols>
  <sheetData>
    <row r="1" spans="1:7" ht="73.5" customHeight="1">
      <c r="B1" s="2"/>
      <c r="C1" s="59"/>
      <c r="D1" s="2"/>
      <c r="E1" s="60"/>
      <c r="G1" s="4"/>
    </row>
    <row r="2" spans="1:7" ht="33" customHeight="1">
      <c r="A2" s="76" t="s">
        <v>61</v>
      </c>
      <c r="B2" s="77"/>
      <c r="C2" s="77"/>
      <c r="D2" s="77"/>
      <c r="E2" s="77"/>
      <c r="F2" s="77"/>
      <c r="G2" s="4"/>
    </row>
    <row r="3" spans="1:7" s="67" customFormat="1" ht="15" customHeight="1">
      <c r="A3" s="78" t="s">
        <v>42</v>
      </c>
    </row>
    <row r="4" spans="1:7" s="67" customFormat="1" ht="15" customHeight="1">
      <c r="A4" s="78" t="s">
        <v>60</v>
      </c>
    </row>
    <row r="5" spans="1:7" s="67" customFormat="1" ht="15" customHeight="1">
      <c r="A5" s="78" t="s">
        <v>63</v>
      </c>
    </row>
    <row r="6" spans="1:7" s="67" customFormat="1" ht="15" customHeight="1">
      <c r="A6" s="78" t="s">
        <v>68</v>
      </c>
    </row>
    <row r="7" spans="1:7" s="67" customFormat="1" ht="15" customHeight="1">
      <c r="A7" s="78" t="s">
        <v>69</v>
      </c>
    </row>
    <row r="8" spans="1:7" s="67" customFormat="1" ht="15" customHeight="1">
      <c r="A8" s="78" t="s">
        <v>70</v>
      </c>
    </row>
    <row r="9" spans="1:7" s="67" customFormat="1" ht="15" customHeight="1">
      <c r="A9" s="78" t="s">
        <v>71</v>
      </c>
    </row>
    <row r="10" spans="1:7" s="67" customFormat="1" ht="15" customHeight="1">
      <c r="A10" s="78" t="s">
        <v>73</v>
      </c>
    </row>
    <row r="11" spans="1:7" s="67" customFormat="1" ht="15" customHeight="1">
      <c r="A11" s="78" t="s">
        <v>72</v>
      </c>
    </row>
    <row r="12" spans="1:7" s="67" customFormat="1" ht="15" customHeight="1">
      <c r="A12" s="78" t="s">
        <v>75</v>
      </c>
    </row>
    <row r="13" spans="1:7" s="67" customFormat="1" ht="15" customHeight="1">
      <c r="A13" s="78" t="s">
        <v>74</v>
      </c>
    </row>
    <row r="14" spans="1:7" s="67" customFormat="1" ht="15" customHeight="1">
      <c r="A14" s="78" t="s">
        <v>76</v>
      </c>
    </row>
    <row r="15" spans="1:7" s="67" customFormat="1" ht="15" customHeight="1">
      <c r="A15" s="78" t="s">
        <v>78</v>
      </c>
    </row>
    <row r="16" spans="1:7" s="67" customFormat="1" ht="15" customHeight="1">
      <c r="A16" s="78" t="s">
        <v>77</v>
      </c>
    </row>
    <row r="17" spans="1:1" s="67" customFormat="1" ht="15" customHeight="1">
      <c r="A17" s="78" t="s">
        <v>79</v>
      </c>
    </row>
    <row r="18" spans="1:1" s="67" customFormat="1" ht="15" customHeight="1">
      <c r="A18" s="78" t="s">
        <v>80</v>
      </c>
    </row>
    <row r="19" spans="1:1" ht="15" customHeight="1">
      <c r="A19" s="78" t="s">
        <v>81</v>
      </c>
    </row>
    <row r="20" spans="1:1" s="67" customFormat="1" ht="15" customHeight="1">
      <c r="A20" s="78" t="s">
        <v>86</v>
      </c>
    </row>
    <row r="21" spans="1:1" s="67" customFormat="1" ht="15" customHeight="1">
      <c r="A21" s="78" t="s">
        <v>88</v>
      </c>
    </row>
    <row r="22" spans="1:1" s="67" customFormat="1" ht="15" customHeight="1">
      <c r="A22" s="78" t="s">
        <v>89</v>
      </c>
    </row>
    <row r="23" spans="1:1" ht="15" customHeight="1">
      <c r="A23" s="78" t="s">
        <v>84</v>
      </c>
    </row>
    <row r="24" spans="1:1" ht="15" customHeight="1">
      <c r="A24" s="78" t="s">
        <v>92</v>
      </c>
    </row>
    <row r="25" spans="1:1" ht="15" customHeight="1">
      <c r="A25" s="78" t="s">
        <v>93</v>
      </c>
    </row>
    <row r="26" spans="1:1" ht="15" customHeight="1">
      <c r="A26" s="67" t="s">
        <v>94</v>
      </c>
    </row>
    <row r="27" spans="1:1" ht="15" customHeight="1">
      <c r="A27" s="78" t="s">
        <v>95</v>
      </c>
    </row>
    <row r="28" spans="1:1" ht="15" customHeight="1">
      <c r="A28" s="78" t="s">
        <v>96</v>
      </c>
    </row>
    <row r="29" spans="1:1" ht="15" customHeight="1">
      <c r="A29" s="78" t="s">
        <v>97</v>
      </c>
    </row>
    <row r="30" spans="1:1" ht="15" customHeight="1">
      <c r="A30" s="78" t="s">
        <v>99</v>
      </c>
    </row>
    <row r="31" spans="1:1" ht="15" customHeight="1">
      <c r="A31" s="78" t="s">
        <v>103</v>
      </c>
    </row>
    <row r="32" spans="1:1" ht="15" customHeight="1">
      <c r="A32" s="78" t="s">
        <v>100</v>
      </c>
    </row>
    <row r="33" spans="1:1" ht="15" customHeight="1">
      <c r="A33" s="78" t="s">
        <v>101</v>
      </c>
    </row>
    <row r="34" spans="1:1" ht="15" customHeight="1">
      <c r="A34" s="78" t="s">
        <v>137</v>
      </c>
    </row>
    <row r="35" spans="1:1" ht="15" customHeight="1">
      <c r="A35" s="78" t="s">
        <v>104</v>
      </c>
    </row>
    <row r="36" spans="1:1" ht="15" customHeight="1">
      <c r="A36" s="78" t="s">
        <v>105</v>
      </c>
    </row>
    <row r="37" spans="1:1" ht="15" customHeight="1">
      <c r="A37" s="78" t="s">
        <v>106</v>
      </c>
    </row>
    <row r="38" spans="1:1" ht="15" customHeight="1">
      <c r="A38" s="78" t="s">
        <v>108</v>
      </c>
    </row>
    <row r="39" spans="1:1" ht="15" customHeight="1">
      <c r="A39" s="78" t="s">
        <v>110</v>
      </c>
    </row>
    <row r="40" spans="1:1" ht="15" customHeight="1">
      <c r="A40" s="78" t="s">
        <v>109</v>
      </c>
    </row>
    <row r="41" spans="1:1" ht="15" customHeight="1">
      <c r="A41" s="78" t="s">
        <v>111</v>
      </c>
    </row>
    <row r="42" spans="1:1" ht="15" customHeight="1">
      <c r="A42" s="78" t="s">
        <v>112</v>
      </c>
    </row>
    <row r="43" spans="1:1" ht="15" customHeight="1">
      <c r="A43" s="78" t="s">
        <v>113</v>
      </c>
    </row>
    <row r="44" spans="1:1" ht="15" customHeight="1">
      <c r="A44" s="78" t="s">
        <v>114</v>
      </c>
    </row>
    <row r="45" spans="1:1" ht="15" customHeight="1">
      <c r="A45" s="78" t="s">
        <v>115</v>
      </c>
    </row>
    <row r="46" spans="1:1" ht="15" customHeight="1">
      <c r="A46" s="78" t="s">
        <v>116</v>
      </c>
    </row>
    <row r="47" spans="1:1" ht="15" customHeight="1">
      <c r="A47" s="78" t="s">
        <v>124</v>
      </c>
    </row>
    <row r="48" spans="1:1" ht="15" customHeight="1">
      <c r="A48" s="78" t="s">
        <v>129</v>
      </c>
    </row>
    <row r="49" spans="1:1" ht="15" customHeight="1">
      <c r="A49" s="78" t="s">
        <v>130</v>
      </c>
    </row>
    <row r="50" spans="1:1" ht="15" customHeight="1">
      <c r="A50" s="78" t="s">
        <v>117</v>
      </c>
    </row>
    <row r="51" spans="1:1" ht="15" customHeight="1">
      <c r="A51" s="78" t="s">
        <v>131</v>
      </c>
    </row>
    <row r="52" spans="1:1" ht="15" customHeight="1">
      <c r="A52" s="78" t="s">
        <v>135</v>
      </c>
    </row>
    <row r="53" spans="1:1" ht="15" customHeight="1">
      <c r="A53" s="78" t="s">
        <v>136</v>
      </c>
    </row>
    <row r="54" spans="1:1" s="67" customFormat="1" ht="15" customHeight="1">
      <c r="A54" s="78" t="s">
        <v>141</v>
      </c>
    </row>
    <row r="55" spans="1:1" s="67" customFormat="1" ht="15" customHeight="1">
      <c r="A55" s="78" t="s">
        <v>140</v>
      </c>
    </row>
    <row r="56" spans="1:1" ht="15" customHeight="1">
      <c r="A56" s="78" t="s">
        <v>139</v>
      </c>
    </row>
    <row r="57" spans="1:1" ht="15" customHeight="1">
      <c r="A57" s="78" t="s">
        <v>146</v>
      </c>
    </row>
    <row r="58" spans="1:1" ht="15" customHeight="1">
      <c r="A58" s="78" t="s">
        <v>138</v>
      </c>
    </row>
    <row r="59" spans="1:1" ht="15" customHeight="1">
      <c r="A59" s="78" t="s">
        <v>156</v>
      </c>
    </row>
    <row r="60" spans="1:1" ht="15" customHeight="1">
      <c r="A60" s="78" t="s">
        <v>157</v>
      </c>
    </row>
    <row r="61" spans="1:1" ht="15" customHeight="1">
      <c r="A61" s="78" t="s">
        <v>159</v>
      </c>
    </row>
    <row r="62" spans="1:1" ht="15" customHeight="1">
      <c r="A62" s="78" t="s">
        <v>160</v>
      </c>
    </row>
    <row r="63" spans="1:1" ht="14">
      <c r="A63" s="78" t="s">
        <v>161</v>
      </c>
    </row>
    <row r="64" spans="1:1" ht="14">
      <c r="A64" s="78" t="s">
        <v>162</v>
      </c>
    </row>
    <row r="65" spans="1:1" ht="14">
      <c r="A65" s="78" t="s">
        <v>163</v>
      </c>
    </row>
    <row r="66" spans="1:1" ht="28">
      <c r="A66" s="78" t="s">
        <v>165</v>
      </c>
    </row>
    <row r="67" spans="1:1" ht="14">
      <c r="A67" s="78" t="s">
        <v>164</v>
      </c>
    </row>
    <row r="68" spans="1:1" ht="14">
      <c r="A68" s="78" t="s">
        <v>168</v>
      </c>
    </row>
    <row r="69" spans="1:1" ht="14">
      <c r="A69" s="78" t="s">
        <v>171</v>
      </c>
    </row>
    <row r="70" spans="1:1" ht="14">
      <c r="A70" s="78" t="s">
        <v>167</v>
      </c>
    </row>
    <row r="71" spans="1:1" ht="14">
      <c r="A71" s="78" t="s">
        <v>176</v>
      </c>
    </row>
    <row r="72" spans="1:1" ht="14">
      <c r="A72" s="78" t="s">
        <v>175</v>
      </c>
    </row>
    <row r="73" spans="1:1" ht="14">
      <c r="A73" s="78" t="s">
        <v>174</v>
      </c>
    </row>
    <row r="74" spans="1:1" ht="15" customHeight="1">
      <c r="A74" s="78" t="s">
        <v>179</v>
      </c>
    </row>
    <row r="75" spans="1:1" ht="14">
      <c r="A75" s="78" t="s">
        <v>178</v>
      </c>
    </row>
    <row r="76" spans="1:1" ht="14">
      <c r="A76" s="78" t="s">
        <v>183</v>
      </c>
    </row>
    <row r="77" spans="1:1" ht="14">
      <c r="A77" s="78" t="s">
        <v>182</v>
      </c>
    </row>
    <row r="78" spans="1:1" ht="14">
      <c r="A78" s="78" t="s">
        <v>190</v>
      </c>
    </row>
    <row r="79" spans="1:1" ht="14">
      <c r="A79" s="78" t="s">
        <v>191</v>
      </c>
    </row>
    <row r="80" spans="1:1" ht="14">
      <c r="A80" s="78" t="s">
        <v>201</v>
      </c>
    </row>
    <row r="81" spans="1:1" ht="14">
      <c r="A81" s="78" t="s">
        <v>202</v>
      </c>
    </row>
    <row r="82" spans="1:1" ht="14">
      <c r="A82" s="78" t="s">
        <v>204</v>
      </c>
    </row>
    <row r="83" spans="1:1" ht="14">
      <c r="A83" s="78" t="s">
        <v>203</v>
      </c>
    </row>
    <row r="84" spans="1:1" ht="14">
      <c r="A84" s="78" t="s">
        <v>205</v>
      </c>
    </row>
    <row r="85" spans="1:1" ht="14">
      <c r="A85" s="78" t="s">
        <v>207</v>
      </c>
    </row>
    <row r="86" spans="1:1" ht="14">
      <c r="A86" s="78" t="s">
        <v>211</v>
      </c>
    </row>
    <row r="87" spans="1:1" ht="14">
      <c r="A87" s="78" t="s">
        <v>212</v>
      </c>
    </row>
    <row r="88" spans="1:1" ht="14">
      <c r="A88" s="187" t="s">
        <v>226</v>
      </c>
    </row>
    <row r="89" spans="1:1" ht="14">
      <c r="A89" s="187" t="s">
        <v>227</v>
      </c>
    </row>
    <row r="90" spans="1:1" ht="14">
      <c r="A90" s="187" t="s">
        <v>230</v>
      </c>
    </row>
    <row r="91" spans="1:1" ht="14">
      <c r="A91" s="187" t="s">
        <v>229</v>
      </c>
    </row>
    <row r="92" spans="1:1" ht="14">
      <c r="A92" s="78" t="s">
        <v>233</v>
      </c>
    </row>
    <row r="93" spans="1:1" ht="14">
      <c r="A93" s="187" t="s">
        <v>232</v>
      </c>
    </row>
    <row r="94" spans="1:1" ht="14">
      <c r="A94" s="187" t="s">
        <v>251</v>
      </c>
    </row>
    <row r="95" spans="1:1" ht="14">
      <c r="A95" s="187" t="s">
        <v>238</v>
      </c>
    </row>
    <row r="96" spans="1:1" ht="14">
      <c r="A96" s="188" t="s">
        <v>254</v>
      </c>
    </row>
    <row r="97" spans="1:1" ht="14">
      <c r="A97" s="187" t="s">
        <v>260</v>
      </c>
    </row>
    <row r="98" spans="1:1" ht="14">
      <c r="A98" s="187" t="s">
        <v>255</v>
      </c>
    </row>
    <row r="99" spans="1:1" ht="14">
      <c r="A99" s="188" t="s">
        <v>256</v>
      </c>
    </row>
    <row r="100" spans="1:1" ht="14">
      <c r="A100" s="187" t="s">
        <v>259</v>
      </c>
    </row>
  </sheetData>
  <sheetProtection password="C746" sheet="1" objects="1" scenarios="1"/>
  <printOptions horizontalCentered="1"/>
  <pageMargins left="0.59055118110236227" right="0.47244094488188981" top="0.78740157480314965" bottom="0.78740157480314965" header="0.51181102362204722" footer="0.51181102362204722"/>
  <pageSetup paperSize="9" scale="73" fitToHeight="0" orientation="portrait" r:id="rId1"/>
  <headerFooter alignWithMargins="0">
    <oddHeader>&amp;Rédité le &amp;D à &amp;T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 enableFormatConditionsCalculation="0">
    <pageSetUpPr fitToPage="1"/>
  </sheetPr>
  <dimension ref="A1:F21"/>
  <sheetViews>
    <sheetView showGridLines="0" zoomScale="90" zoomScaleNormal="90" workbookViewId="0">
      <pane ySplit="4" topLeftCell="A13" activePane="bottomLeft" state="frozen"/>
      <selection pane="bottomLeft" activeCell="C16" sqref="C16"/>
    </sheetView>
  </sheetViews>
  <sheetFormatPr baseColWidth="10" defaultColWidth="11.453125" defaultRowHeight="12.5"/>
  <cols>
    <col min="1" max="1" width="19.54296875" style="3" customWidth="1"/>
    <col min="2" max="2" width="9.453125" style="3" customWidth="1"/>
    <col min="3" max="3" width="32.81640625" style="3" customWidth="1"/>
    <col min="4" max="4" width="11.7265625" style="3" customWidth="1"/>
    <col min="5" max="5" width="16.7265625" style="3" customWidth="1"/>
    <col min="6" max="6" width="22.7265625" style="3" customWidth="1"/>
    <col min="7" max="16384" width="11.453125" style="3"/>
  </cols>
  <sheetData>
    <row r="1" spans="1:6" ht="69.75" customHeight="1">
      <c r="B1" s="2"/>
      <c r="C1" s="59"/>
      <c r="D1" s="2"/>
      <c r="E1" s="60"/>
    </row>
    <row r="2" spans="1:6" ht="27" customHeight="1">
      <c r="A2" s="216" t="s">
        <v>62</v>
      </c>
      <c r="B2" s="216"/>
      <c r="C2" s="216"/>
      <c r="D2" s="216"/>
      <c r="E2" s="216"/>
      <c r="F2" s="216"/>
    </row>
    <row r="3" spans="1:6" ht="16.899999999999999" customHeight="1">
      <c r="A3" s="217" t="s">
        <v>217</v>
      </c>
      <c r="B3" s="217"/>
      <c r="C3" s="217"/>
      <c r="D3" s="217"/>
      <c r="E3" s="217"/>
      <c r="F3" s="217"/>
    </row>
    <row r="4" spans="1:6" s="64" customFormat="1" ht="32.15" customHeight="1">
      <c r="A4" s="65" t="s">
        <v>30</v>
      </c>
      <c r="B4" s="65" t="s">
        <v>31</v>
      </c>
      <c r="C4" s="65" t="s">
        <v>32</v>
      </c>
      <c r="D4" s="65" t="s">
        <v>33</v>
      </c>
      <c r="E4" s="65" t="s">
        <v>34</v>
      </c>
      <c r="F4" s="66" t="s">
        <v>35</v>
      </c>
    </row>
    <row r="5" spans="1:6" ht="32.15" customHeight="1">
      <c r="A5" s="74" t="s">
        <v>38</v>
      </c>
      <c r="B5" s="74" t="s">
        <v>36</v>
      </c>
      <c r="C5" s="75" t="s">
        <v>234</v>
      </c>
      <c r="D5" s="75">
        <v>44763</v>
      </c>
      <c r="E5" s="74" t="s">
        <v>37</v>
      </c>
      <c r="F5" s="186" t="s">
        <v>118</v>
      </c>
    </row>
    <row r="6" spans="1:6" ht="32.15" customHeight="1">
      <c r="A6" s="74" t="s">
        <v>67</v>
      </c>
      <c r="B6" s="74" t="s">
        <v>39</v>
      </c>
      <c r="C6" s="82" t="s">
        <v>181</v>
      </c>
      <c r="D6" s="75">
        <v>43283</v>
      </c>
      <c r="E6" s="74" t="s">
        <v>37</v>
      </c>
      <c r="F6" s="186" t="s">
        <v>118</v>
      </c>
    </row>
    <row r="7" spans="1:6" ht="32.15" customHeight="1">
      <c r="A7" s="74" t="s">
        <v>199</v>
      </c>
      <c r="B7" s="74" t="s">
        <v>200</v>
      </c>
      <c r="C7" s="183" t="s">
        <v>215</v>
      </c>
      <c r="D7" s="75">
        <v>44228</v>
      </c>
      <c r="E7" s="74" t="s">
        <v>37</v>
      </c>
      <c r="F7" s="186" t="s">
        <v>118</v>
      </c>
    </row>
    <row r="8" spans="1:6" ht="32.15" customHeight="1">
      <c r="A8" s="74" t="s">
        <v>87</v>
      </c>
      <c r="B8" s="74" t="s">
        <v>102</v>
      </c>
      <c r="C8" s="183" t="s">
        <v>216</v>
      </c>
      <c r="D8" s="75">
        <v>44228</v>
      </c>
      <c r="E8" s="74" t="s">
        <v>37</v>
      </c>
      <c r="F8" s="186" t="s">
        <v>118</v>
      </c>
    </row>
    <row r="9" spans="1:6" ht="32.15" customHeight="1">
      <c r="A9" s="74" t="s">
        <v>87</v>
      </c>
      <c r="B9" s="74" t="s">
        <v>213</v>
      </c>
      <c r="C9" s="183" t="s">
        <v>214</v>
      </c>
      <c r="D9" s="75">
        <v>44228</v>
      </c>
      <c r="E9" s="74" t="s">
        <v>37</v>
      </c>
      <c r="F9" s="186" t="s">
        <v>118</v>
      </c>
    </row>
    <row r="10" spans="1:6" ht="32.15" customHeight="1">
      <c r="A10" s="74" t="s">
        <v>218</v>
      </c>
      <c r="B10" s="74" t="s">
        <v>219</v>
      </c>
      <c r="C10" s="183" t="s">
        <v>225</v>
      </c>
      <c r="D10" s="75">
        <v>44559</v>
      </c>
      <c r="E10" s="74" t="s">
        <v>37</v>
      </c>
      <c r="F10" s="186" t="s">
        <v>118</v>
      </c>
    </row>
    <row r="11" spans="1:6" ht="32.15" customHeight="1">
      <c r="A11" s="74" t="s">
        <v>41</v>
      </c>
      <c r="B11" s="74" t="s">
        <v>40</v>
      </c>
      <c r="C11" s="74" t="s">
        <v>172</v>
      </c>
      <c r="D11" s="75">
        <v>42535</v>
      </c>
      <c r="E11" s="74" t="s">
        <v>37</v>
      </c>
      <c r="F11" s="186" t="s">
        <v>118</v>
      </c>
    </row>
    <row r="12" spans="1:6" ht="32.15" customHeight="1">
      <c r="A12" s="74" t="s">
        <v>56</v>
      </c>
      <c r="B12" s="74" t="s">
        <v>57</v>
      </c>
      <c r="C12" s="143" t="s">
        <v>173</v>
      </c>
      <c r="D12" s="75">
        <v>42762</v>
      </c>
      <c r="E12" s="74" t="s">
        <v>37</v>
      </c>
      <c r="F12" s="186" t="s">
        <v>118</v>
      </c>
    </row>
    <row r="13" spans="1:6" ht="32.15" customHeight="1">
      <c r="A13" s="74" t="s">
        <v>56</v>
      </c>
      <c r="B13" s="74" t="s">
        <v>59</v>
      </c>
      <c r="C13" s="74" t="s">
        <v>169</v>
      </c>
      <c r="D13" s="75">
        <v>42535</v>
      </c>
      <c r="E13" s="74" t="s">
        <v>37</v>
      </c>
      <c r="F13" s="186" t="s">
        <v>118</v>
      </c>
    </row>
    <row r="14" spans="1:6" ht="32.15" customHeight="1">
      <c r="A14" s="74" t="s">
        <v>154</v>
      </c>
      <c r="B14" s="74" t="s">
        <v>155</v>
      </c>
      <c r="C14" s="82" t="s">
        <v>192</v>
      </c>
      <c r="D14" s="75">
        <v>43304</v>
      </c>
      <c r="E14" s="74" t="s">
        <v>37</v>
      </c>
      <c r="F14" s="186" t="s">
        <v>118</v>
      </c>
    </row>
    <row r="15" spans="1:6" ht="32.15" customHeight="1">
      <c r="A15" s="143" t="s">
        <v>239</v>
      </c>
      <c r="B15" s="143" t="s">
        <v>240</v>
      </c>
      <c r="C15" s="82" t="s">
        <v>241</v>
      </c>
      <c r="D15" s="75">
        <v>45307</v>
      </c>
      <c r="E15" s="74" t="s">
        <v>37</v>
      </c>
      <c r="F15" s="215" t="s">
        <v>118</v>
      </c>
    </row>
    <row r="16" spans="1:6" ht="32.15" customHeight="1">
      <c r="A16" s="143" t="s">
        <v>239</v>
      </c>
      <c r="B16" s="143" t="s">
        <v>252</v>
      </c>
      <c r="C16" s="82" t="s">
        <v>253</v>
      </c>
      <c r="D16" s="75">
        <v>45324</v>
      </c>
      <c r="E16" s="74" t="s">
        <v>37</v>
      </c>
      <c r="F16" s="215" t="s">
        <v>118</v>
      </c>
    </row>
    <row r="17" spans="1:6" ht="13.5" customHeight="1">
      <c r="A17" s="219"/>
      <c r="B17" s="219"/>
      <c r="C17" s="219"/>
      <c r="D17" s="219"/>
      <c r="E17" s="219"/>
    </row>
    <row r="18" spans="1:6" ht="20">
      <c r="A18" s="220" t="s">
        <v>46</v>
      </c>
      <c r="B18" s="220"/>
      <c r="C18" s="220"/>
      <c r="D18" s="220"/>
      <c r="E18" s="220"/>
      <c r="F18" s="220"/>
    </row>
    <row r="19" spans="1:6" ht="54" customHeight="1">
      <c r="A19" s="221" t="s">
        <v>45</v>
      </c>
      <c r="B19" s="221"/>
      <c r="C19" s="221"/>
      <c r="D19" s="221"/>
      <c r="E19" s="221"/>
      <c r="F19" s="221"/>
    </row>
    <row r="20" spans="1:6" ht="18">
      <c r="A20" s="222" t="s">
        <v>44</v>
      </c>
      <c r="B20" s="222"/>
      <c r="C20" s="222"/>
      <c r="D20" s="222"/>
      <c r="E20" s="222"/>
      <c r="F20" s="222"/>
    </row>
    <row r="21" spans="1:6" s="68" customFormat="1" ht="17.5" customHeight="1">
      <c r="A21" s="218" t="s">
        <v>43</v>
      </c>
      <c r="B21" s="218"/>
      <c r="C21" s="218"/>
      <c r="D21" s="218"/>
      <c r="E21" s="218"/>
      <c r="F21" s="218"/>
    </row>
  </sheetData>
  <sheetProtection password="C746" sheet="1" objects="1" scenarios="1"/>
  <mergeCells count="7">
    <mergeCell ref="A2:F2"/>
    <mergeCell ref="A3:F3"/>
    <mergeCell ref="A21:F21"/>
    <mergeCell ref="A17:E17"/>
    <mergeCell ref="A18:F18"/>
    <mergeCell ref="A19:F19"/>
    <mergeCell ref="A20:F20"/>
  </mergeCells>
  <hyperlinks>
    <hyperlink ref="A21" r:id="rId1"/>
  </hyperlinks>
  <printOptions horizontalCentered="1"/>
  <pageMargins left="0.59055118110236227" right="0.47244094488188981" top="0.78740157480314965" bottom="0.78740157480314965" header="0.51181102362204722" footer="0.51181102362204722"/>
  <pageSetup paperSize="9" scale="86" orientation="portrait" r:id="rId2"/>
  <headerFooter alignWithMargins="0">
    <oddHeader>&amp;Rédité le &amp;D à &amp;T</oddHead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Feuil1" enableFormatConditionsCalculation="0">
    <pageSetUpPr fitToPage="1"/>
  </sheetPr>
  <dimension ref="A1:T52"/>
  <sheetViews>
    <sheetView showGridLines="0" zoomScale="90" zoomScaleNormal="90" workbookViewId="0">
      <selection activeCell="B12" sqref="B12"/>
    </sheetView>
  </sheetViews>
  <sheetFormatPr baseColWidth="10" defaultRowHeight="12.5"/>
  <cols>
    <col min="1" max="1" width="30.26953125" style="3" customWidth="1"/>
    <col min="2" max="2" width="8.7265625" style="3" customWidth="1"/>
    <col min="3" max="3" width="15.26953125" style="3" customWidth="1"/>
    <col min="4" max="4" width="25.1796875" style="3" customWidth="1"/>
    <col min="5" max="5" width="18.81640625" style="3" customWidth="1"/>
    <col min="6" max="10" width="11.453125" style="3" customWidth="1"/>
    <col min="14" max="14" width="4.453125" customWidth="1"/>
  </cols>
  <sheetData>
    <row r="1" spans="1:10" ht="73.5" customHeight="1">
      <c r="B1" s="2"/>
      <c r="C1" s="59"/>
      <c r="D1" s="2"/>
      <c r="E1" s="60"/>
      <c r="G1" s="4"/>
    </row>
    <row r="2" spans="1:10" ht="33" customHeight="1">
      <c r="A2" s="216" t="s">
        <v>25</v>
      </c>
      <c r="B2" s="216"/>
      <c r="C2" s="216"/>
      <c r="D2" s="216"/>
      <c r="E2" s="216"/>
      <c r="G2" s="4"/>
    </row>
    <row r="3" spans="1:10" ht="20">
      <c r="A3" s="2" t="s">
        <v>231</v>
      </c>
      <c r="B3" s="2"/>
      <c r="C3" s="2"/>
      <c r="D3" s="2"/>
      <c r="E3" s="2"/>
      <c r="G3" s="4"/>
    </row>
    <row r="4" spans="1:10" ht="20.5" thickBot="1">
      <c r="A4" s="2"/>
      <c r="B4" s="2"/>
      <c r="C4" s="2"/>
      <c r="D4" s="63" t="s">
        <v>127</v>
      </c>
      <c r="E4" s="5">
        <v>1055</v>
      </c>
    </row>
    <row r="5" spans="1:10" ht="15">
      <c r="A5" s="7"/>
      <c r="B5" s="8" t="s">
        <v>0</v>
      </c>
      <c r="C5" s="8" t="s">
        <v>1</v>
      </c>
      <c r="D5" s="8" t="s">
        <v>2</v>
      </c>
      <c r="E5" s="9" t="s">
        <v>3</v>
      </c>
      <c r="G5" s="6"/>
    </row>
    <row r="6" spans="1:10" ht="15.5">
      <c r="A6" s="10" t="s">
        <v>120</v>
      </c>
      <c r="B6" s="113"/>
      <c r="C6" s="114">
        <v>725</v>
      </c>
      <c r="D6" s="12">
        <v>2.165</v>
      </c>
      <c r="E6" s="53">
        <f>+C6*D6</f>
        <v>1569.625</v>
      </c>
    </row>
    <row r="7" spans="1:10" ht="15.5">
      <c r="A7" s="10" t="s">
        <v>4</v>
      </c>
      <c r="B7" s="113"/>
      <c r="C7" s="115">
        <v>77</v>
      </c>
      <c r="D7" s="11">
        <v>2.0449999999999999</v>
      </c>
      <c r="E7" s="54">
        <f t="shared" ref="E7:E12" si="0">IF(C7&lt;&gt;"",D7*C7,"")</f>
        <v>157.465</v>
      </c>
    </row>
    <row r="8" spans="1:10" ht="15.5">
      <c r="A8" s="10" t="s">
        <v>5</v>
      </c>
      <c r="B8" s="113"/>
      <c r="C8" s="115">
        <v>77</v>
      </c>
      <c r="D8" s="11">
        <v>2.0449999999999999</v>
      </c>
      <c r="E8" s="54">
        <f t="shared" si="0"/>
        <v>157.465</v>
      </c>
    </row>
    <row r="9" spans="1:10" ht="15.5">
      <c r="A9" s="10" t="s">
        <v>6</v>
      </c>
      <c r="B9" s="113"/>
      <c r="C9" s="115">
        <v>77</v>
      </c>
      <c r="D9" s="11">
        <v>3</v>
      </c>
      <c r="E9" s="54">
        <f t="shared" si="0"/>
        <v>231</v>
      </c>
    </row>
    <row r="10" spans="1:10" ht="15.5">
      <c r="A10" s="10" t="s">
        <v>7</v>
      </c>
      <c r="B10" s="113"/>
      <c r="C10" s="115">
        <v>0</v>
      </c>
      <c r="D10" s="11">
        <v>3</v>
      </c>
      <c r="E10" s="54">
        <f t="shared" si="0"/>
        <v>0</v>
      </c>
    </row>
    <row r="11" spans="1:10" ht="15.5">
      <c r="A11" s="10" t="s">
        <v>53</v>
      </c>
      <c r="B11" s="113"/>
      <c r="C11" s="115">
        <v>0</v>
      </c>
      <c r="D11" s="11">
        <v>3.6269999999999998</v>
      </c>
      <c r="E11" s="54">
        <f t="shared" si="0"/>
        <v>0</v>
      </c>
    </row>
    <row r="12" spans="1:10" ht="15.5">
      <c r="A12" s="10" t="s">
        <v>235</v>
      </c>
      <c r="B12" s="122">
        <v>123.75</v>
      </c>
      <c r="C12" s="116">
        <f>B12*0.8</f>
        <v>99</v>
      </c>
      <c r="D12" s="11">
        <v>2.4129999999999998</v>
      </c>
      <c r="E12" s="54">
        <f t="shared" si="0"/>
        <v>238.88699999999997</v>
      </c>
    </row>
    <row r="13" spans="1:10" ht="15.5">
      <c r="A13" s="10"/>
      <c r="B13" s="113"/>
      <c r="C13" s="113"/>
      <c r="D13" s="79" t="str">
        <f>+IF(B12&gt;C24,"attention carburant MAXIMUM " &amp; ROUND(C24,0) &amp; "litres","")</f>
        <v/>
      </c>
      <c r="E13" s="54"/>
    </row>
    <row r="14" spans="1:10" ht="15">
      <c r="A14" s="13" t="s">
        <v>125</v>
      </c>
      <c r="B14" s="117"/>
      <c r="C14" s="117">
        <f>SUM(C6:C12)</f>
        <v>1055</v>
      </c>
      <c r="D14" s="14">
        <f>E14/C14</f>
        <v>2.2316985781990519</v>
      </c>
      <c r="E14" s="55">
        <f>SUM(E6:E12)</f>
        <v>2354.442</v>
      </c>
    </row>
    <row r="15" spans="1:10" s="1" customFormat="1" ht="15.5">
      <c r="A15" s="10" t="s">
        <v>16</v>
      </c>
      <c r="B15" s="115">
        <v>2</v>
      </c>
      <c r="C15" s="118" t="s">
        <v>17</v>
      </c>
      <c r="D15" s="79" t="str">
        <f>+IF(C14&gt;E4,"attention surcharge " &amp; ROUND(C14-E4,0) &amp; "kg","")</f>
        <v/>
      </c>
      <c r="E15" s="56"/>
      <c r="F15" s="15"/>
      <c r="G15" s="15"/>
      <c r="H15" s="15"/>
      <c r="I15" s="15"/>
      <c r="J15" s="15"/>
    </row>
    <row r="16" spans="1:10" ht="15.5">
      <c r="A16" s="10" t="s">
        <v>8</v>
      </c>
      <c r="B16" s="125">
        <f>-B15*D25</f>
        <v>-44</v>
      </c>
      <c r="C16" s="113">
        <f>0.7833*B16</f>
        <v>-34.465200000000003</v>
      </c>
      <c r="D16" s="11">
        <f>+D12</f>
        <v>2.4129999999999998</v>
      </c>
      <c r="E16" s="54">
        <f>IF(C16&lt;&gt;"",D16*C16,"")</f>
        <v>-83.1645276</v>
      </c>
    </row>
    <row r="17" spans="1:20" ht="15.5">
      <c r="A17" s="16"/>
      <c r="B17" s="119"/>
      <c r="C17" s="119"/>
      <c r="D17" s="79" t="str">
        <f>+IF(B15&gt;C25/D25,"attention autonomie MAXIMUM " &amp; ROUND(C25/D25,2) &amp; " heures","")</f>
        <v/>
      </c>
      <c r="E17" s="57"/>
    </row>
    <row r="18" spans="1:20" ht="16" thickBot="1">
      <c r="A18" s="17" t="s">
        <v>126</v>
      </c>
      <c r="B18" s="120"/>
      <c r="C18" s="120">
        <f>C14+C16</f>
        <v>1020.5348</v>
      </c>
      <c r="D18" s="18">
        <f>E18/C18</f>
        <v>2.2255757201028326</v>
      </c>
      <c r="E18" s="58">
        <f>E14+E16</f>
        <v>2271.2774724000001</v>
      </c>
    </row>
    <row r="19" spans="1:20">
      <c r="A19" s="228" t="s">
        <v>29</v>
      </c>
      <c r="B19" s="228"/>
      <c r="C19" s="228"/>
      <c r="D19" s="228"/>
      <c r="E19" s="228"/>
    </row>
    <row r="20" spans="1:20" ht="13.5" customHeight="1">
      <c r="A20" s="229" t="s">
        <v>26</v>
      </c>
      <c r="B20" s="229"/>
      <c r="C20" s="229"/>
      <c r="D20" s="229"/>
      <c r="E20" s="229"/>
    </row>
    <row r="21" spans="1:20" ht="14.25" customHeight="1">
      <c r="A21" s="19"/>
      <c r="B21" s="20"/>
      <c r="C21" s="21"/>
    </row>
    <row r="22" spans="1:20" ht="17.5" customHeight="1">
      <c r="B22" s="46" t="s">
        <v>13</v>
      </c>
    </row>
    <row r="23" spans="1:20" ht="17.5" customHeight="1" thickBot="1">
      <c r="C23" s="47" t="s">
        <v>14</v>
      </c>
      <c r="D23" s="47" t="s">
        <v>48</v>
      </c>
      <c r="E23" s="47" t="s">
        <v>15</v>
      </c>
    </row>
    <row r="24" spans="1:20" ht="18.75" customHeight="1">
      <c r="B24" s="48" t="s">
        <v>27</v>
      </c>
      <c r="C24" s="49">
        <v>162</v>
      </c>
      <c r="D24" s="50"/>
      <c r="E24" s="51"/>
      <c r="Q24" s="223" t="s">
        <v>19</v>
      </c>
      <c r="R24" s="224"/>
      <c r="S24" s="224"/>
      <c r="T24" s="225"/>
    </row>
    <row r="25" spans="1:20" ht="18.75" customHeight="1">
      <c r="B25" s="48" t="s">
        <v>28</v>
      </c>
      <c r="C25" s="80">
        <f>IF(B12&gt;C24,"attention max " &amp; ROUND(C24,0) &amp; " l",B12)</f>
        <v>123.75</v>
      </c>
      <c r="D25" s="50">
        <v>22</v>
      </c>
      <c r="E25" s="81">
        <f>IF(C25&gt;C24,"Erreur",C25/D25*0.04166666667)</f>
        <v>0.23437500001875</v>
      </c>
      <c r="Q25" s="22"/>
      <c r="R25" s="23"/>
      <c r="S25" s="24" t="s">
        <v>9</v>
      </c>
      <c r="T25" s="25" t="s">
        <v>10</v>
      </c>
    </row>
    <row r="26" spans="1:20" ht="25">
      <c r="Q26" s="26" t="s">
        <v>18</v>
      </c>
      <c r="R26" s="27" t="s">
        <v>20</v>
      </c>
      <c r="S26" s="28">
        <f>D6</f>
        <v>2.165</v>
      </c>
      <c r="T26" s="69">
        <f>C6</f>
        <v>725</v>
      </c>
    </row>
    <row r="27" spans="1:20" ht="18.75" customHeight="1">
      <c r="B27" s="46"/>
      <c r="Q27" s="26"/>
      <c r="R27" s="29" t="s">
        <v>11</v>
      </c>
      <c r="S27" s="30">
        <v>2.1080000000000001</v>
      </c>
      <c r="T27" s="61">
        <v>600</v>
      </c>
    </row>
    <row r="28" spans="1:20" ht="25">
      <c r="B28" s="46"/>
      <c r="Q28" s="31" t="s">
        <v>23</v>
      </c>
      <c r="R28" s="29" t="s">
        <v>11</v>
      </c>
      <c r="S28" s="30">
        <v>2.1080000000000001</v>
      </c>
      <c r="T28" s="61">
        <v>885</v>
      </c>
    </row>
    <row r="29" spans="1:20" ht="25">
      <c r="A29" s="52"/>
      <c r="Q29" s="32" t="s">
        <v>21</v>
      </c>
      <c r="R29" s="29" t="s">
        <v>11</v>
      </c>
      <c r="S29" s="30">
        <v>2.21</v>
      </c>
      <c r="T29" s="61">
        <f>+E4</f>
        <v>1055</v>
      </c>
    </row>
    <row r="30" spans="1:20" ht="37.5">
      <c r="Q30" s="32" t="s">
        <v>24</v>
      </c>
      <c r="R30" s="29" t="s">
        <v>11</v>
      </c>
      <c r="S30" s="30">
        <v>2.3620000000000001</v>
      </c>
      <c r="T30" s="61">
        <f>+T29</f>
        <v>1055</v>
      </c>
    </row>
    <row r="31" spans="1:20" ht="18.75" customHeight="1" thickBot="1">
      <c r="Q31" s="33"/>
      <c r="R31" s="34" t="s">
        <v>11</v>
      </c>
      <c r="S31" s="35">
        <v>2.3620000000000001</v>
      </c>
      <c r="T31" s="62">
        <v>600</v>
      </c>
    </row>
    <row r="32" spans="1:20" ht="18.75" customHeight="1">
      <c r="Q32" s="226" t="s">
        <v>22</v>
      </c>
      <c r="R32" s="36" t="s">
        <v>12</v>
      </c>
      <c r="S32" s="37">
        <f>E14/C14</f>
        <v>2.2316985781990519</v>
      </c>
      <c r="T32" s="70">
        <f>C14</f>
        <v>1055</v>
      </c>
    </row>
    <row r="33" spans="7:20" ht="18.75" customHeight="1" thickBot="1">
      <c r="Q33" s="227"/>
      <c r="R33" s="38" t="s">
        <v>12</v>
      </c>
      <c r="S33" s="39">
        <f>E18/C18</f>
        <v>2.2255757201028326</v>
      </c>
      <c r="T33" s="71">
        <f>C18</f>
        <v>1020.5348</v>
      </c>
    </row>
    <row r="34" spans="7:20" ht="18.75" customHeight="1">
      <c r="G34" s="40"/>
      <c r="H34" s="41"/>
      <c r="I34" s="41"/>
    </row>
    <row r="35" spans="7:20" ht="18.75" customHeight="1">
      <c r="G35" s="40"/>
      <c r="H35" s="42"/>
      <c r="I35" s="41"/>
    </row>
    <row r="36" spans="7:20" ht="18.75" customHeight="1"/>
    <row r="37" spans="7:20" ht="17.5" customHeight="1"/>
    <row r="38" spans="7:20" ht="17.5" customHeight="1">
      <c r="G38" s="43"/>
      <c r="H38" s="44"/>
      <c r="I38" s="45"/>
    </row>
    <row r="39" spans="7:20" ht="17.5" customHeight="1"/>
    <row r="40" spans="7:20" ht="17.5" customHeight="1"/>
    <row r="41" spans="7:20" ht="17.5" customHeight="1"/>
    <row r="42" spans="7:20" ht="17.5" customHeight="1"/>
    <row r="43" spans="7:20" ht="17.5" customHeight="1"/>
    <row r="44" spans="7:20" ht="17.5" customHeight="1"/>
    <row r="45" spans="7:20" ht="17.5" customHeight="1"/>
    <row r="46" spans="7:20" ht="17.5" customHeight="1"/>
    <row r="47" spans="7:20" ht="17.5" customHeight="1"/>
    <row r="48" spans="7:20" ht="17.5" customHeight="1"/>
    <row r="49" ht="17.5" customHeight="1"/>
    <row r="50" ht="17.5" customHeight="1"/>
    <row r="51" ht="17.5" customHeight="1"/>
    <row r="52" ht="17.5" customHeight="1"/>
  </sheetData>
  <sheetProtection password="C746" sheet="1" objects="1" scenarios="1"/>
  <mergeCells count="5">
    <mergeCell ref="Q24:T24"/>
    <mergeCell ref="Q32:Q33"/>
    <mergeCell ref="A2:E2"/>
    <mergeCell ref="A19:E19"/>
    <mergeCell ref="A20:E20"/>
  </mergeCells>
  <conditionalFormatting sqref="D13 D15 D17">
    <cfRule type="cellIs" dxfId="17" priority="1" stopIfTrue="1" operator="notEqual">
      <formula>""</formula>
    </cfRule>
  </conditionalFormatting>
  <printOptions horizontalCentered="1"/>
  <pageMargins left="0.59055118110236227" right="0.47244094488188981" top="0.78740157480314965" bottom="0.78740157480314965" header="0.51181102362204722" footer="0.51181102362204722"/>
  <pageSetup paperSize="9" scale="65" orientation="landscape" r:id="rId1"/>
  <headerFooter alignWithMargins="0">
    <oddHeader>&amp;Rédité le &amp;D à &amp;T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Feuil19" enableFormatConditionsCalculation="0">
    <pageSetUpPr fitToPage="1"/>
  </sheetPr>
  <dimension ref="A1:U58"/>
  <sheetViews>
    <sheetView showGridLines="0" zoomScale="90" zoomScaleNormal="90" workbookViewId="0">
      <selection activeCell="C7" sqref="C7"/>
    </sheetView>
  </sheetViews>
  <sheetFormatPr baseColWidth="10" defaultRowHeight="12.5"/>
  <cols>
    <col min="1" max="1" width="31.7265625" style="3" customWidth="1"/>
    <col min="2" max="2" width="9" style="3" customWidth="1"/>
    <col min="3" max="3" width="14.1796875" style="3" customWidth="1"/>
    <col min="4" max="4" width="24.453125" style="3" customWidth="1"/>
    <col min="5" max="5" width="18.453125" style="3" customWidth="1"/>
    <col min="6" max="10" width="11.453125" style="3" customWidth="1"/>
    <col min="14" max="14" width="3.54296875" customWidth="1"/>
  </cols>
  <sheetData>
    <row r="1" spans="1:10" ht="73.5" customHeight="1">
      <c r="B1" s="2"/>
      <c r="C1" s="59"/>
      <c r="D1" s="2"/>
      <c r="E1" s="60"/>
      <c r="G1" s="4"/>
    </row>
    <row r="2" spans="1:10" ht="33" customHeight="1">
      <c r="A2" s="216" t="s">
        <v>91</v>
      </c>
      <c r="B2" s="216"/>
      <c r="C2" s="216"/>
      <c r="D2" s="216"/>
      <c r="E2" s="216"/>
      <c r="G2" s="4"/>
    </row>
    <row r="3" spans="1:10" ht="20">
      <c r="A3" s="127" t="s">
        <v>180</v>
      </c>
      <c r="B3" s="2"/>
      <c r="C3" s="2"/>
      <c r="D3" s="2"/>
      <c r="E3" s="2"/>
      <c r="G3" s="4"/>
    </row>
    <row r="4" spans="1:10" ht="20.5" thickBot="1">
      <c r="A4" s="2"/>
      <c r="B4" s="2"/>
      <c r="C4" s="2"/>
      <c r="D4" s="63" t="s">
        <v>127</v>
      </c>
      <c r="E4" s="5">
        <v>1157</v>
      </c>
    </row>
    <row r="5" spans="1:10" ht="15">
      <c r="A5" s="7"/>
      <c r="B5" s="8" t="s">
        <v>0</v>
      </c>
      <c r="C5" s="8" t="s">
        <v>1</v>
      </c>
      <c r="D5" s="8" t="s">
        <v>2</v>
      </c>
      <c r="E5" s="9" t="s">
        <v>3</v>
      </c>
      <c r="G5" s="6"/>
    </row>
    <row r="6" spans="1:10" ht="15.5">
      <c r="A6" s="10" t="s">
        <v>119</v>
      </c>
      <c r="B6" s="113"/>
      <c r="C6" s="114">
        <v>772.16</v>
      </c>
      <c r="D6" s="12">
        <v>0.99299999999999999</v>
      </c>
      <c r="E6" s="53">
        <v>767.13</v>
      </c>
    </row>
    <row r="7" spans="1:10" ht="15.5">
      <c r="A7" s="10" t="s">
        <v>4</v>
      </c>
      <c r="B7" s="113"/>
      <c r="C7" s="115">
        <v>77</v>
      </c>
      <c r="D7" s="11">
        <v>0.94</v>
      </c>
      <c r="E7" s="54">
        <f t="shared" ref="E7:E13" si="0">IF(C7&lt;&gt;"",D7*C7,"")</f>
        <v>72.38</v>
      </c>
    </row>
    <row r="8" spans="1:10" ht="15.5">
      <c r="A8" s="10" t="s">
        <v>5</v>
      </c>
      <c r="B8" s="113"/>
      <c r="C8" s="115">
        <v>77</v>
      </c>
      <c r="D8" s="11">
        <v>0.94</v>
      </c>
      <c r="E8" s="54">
        <f t="shared" si="0"/>
        <v>72.38</v>
      </c>
      <c r="G8" s="72"/>
    </row>
    <row r="9" spans="1:10" ht="15.5">
      <c r="A9" s="10" t="s">
        <v>6</v>
      </c>
      <c r="B9" s="113"/>
      <c r="C9" s="115">
        <v>77</v>
      </c>
      <c r="D9" s="11">
        <v>1.8540000000000001</v>
      </c>
      <c r="E9" s="54">
        <f t="shared" si="0"/>
        <v>142.75800000000001</v>
      </c>
    </row>
    <row r="10" spans="1:10" ht="15.5">
      <c r="A10" s="10" t="s">
        <v>7</v>
      </c>
      <c r="B10" s="113"/>
      <c r="C10" s="115">
        <v>77</v>
      </c>
      <c r="D10" s="11">
        <v>1.8540000000000001</v>
      </c>
      <c r="E10" s="54">
        <f t="shared" si="0"/>
        <v>142.75800000000001</v>
      </c>
    </row>
    <row r="11" spans="1:10" ht="15.5">
      <c r="A11" s="10" t="s">
        <v>64</v>
      </c>
      <c r="B11" s="113"/>
      <c r="C11" s="115">
        <v>10</v>
      </c>
      <c r="D11" s="11">
        <v>2.4129999999999998</v>
      </c>
      <c r="E11" s="54">
        <f>IF(C11&lt;&gt;"",D11*C11,"")</f>
        <v>24.13</v>
      </c>
    </row>
    <row r="12" spans="1:10" ht="15.5">
      <c r="A12" s="10" t="s">
        <v>65</v>
      </c>
      <c r="B12" s="113"/>
      <c r="C12" s="115">
        <v>5</v>
      </c>
      <c r="D12" s="11">
        <v>3.1240000000000001</v>
      </c>
      <c r="E12" s="54">
        <f t="shared" si="0"/>
        <v>15.620000000000001</v>
      </c>
    </row>
    <row r="13" spans="1:10" ht="15.5">
      <c r="A13" s="10" t="s">
        <v>66</v>
      </c>
      <c r="B13" s="122">
        <v>85.88</v>
      </c>
      <c r="C13" s="116">
        <f>B13*0.72</f>
        <v>61.833599999999997</v>
      </c>
      <c r="D13" s="11">
        <v>1.2270000000000001</v>
      </c>
      <c r="E13" s="54">
        <f t="shared" si="0"/>
        <v>75.869827200000003</v>
      </c>
    </row>
    <row r="14" spans="1:10" ht="15.5">
      <c r="A14" s="121" t="s">
        <v>128</v>
      </c>
      <c r="B14" s="123">
        <f>+B13*0.264172</f>
        <v>22.68709136</v>
      </c>
      <c r="C14" s="113"/>
      <c r="D14" s="79" t="str">
        <f>+IF(C26&gt;C25,"attention carburant MAXIMUM " &amp; ROUND(C25,0) &amp; "litres","")</f>
        <v/>
      </c>
      <c r="E14" s="54"/>
    </row>
    <row r="15" spans="1:10" ht="15">
      <c r="A15" s="13" t="s">
        <v>125</v>
      </c>
      <c r="B15" s="117"/>
      <c r="C15" s="117">
        <f>SUM(C6:C13)</f>
        <v>1156.9935999999998</v>
      </c>
      <c r="D15" s="142">
        <f>E15/C15</f>
        <v>1.1348600607643811</v>
      </c>
      <c r="E15" s="55">
        <f>SUM(E6:E13)</f>
        <v>1313.0258271999999</v>
      </c>
    </row>
    <row r="16" spans="1:10" s="1" customFormat="1" ht="15.5">
      <c r="A16" s="10" t="s">
        <v>16</v>
      </c>
      <c r="B16" s="124">
        <v>2</v>
      </c>
      <c r="C16" s="118" t="s">
        <v>17</v>
      </c>
      <c r="D16" s="79" t="str">
        <f>+IF(C15&gt;E4,"attention surcharge " &amp; ROUND(C15-E4,0) &amp; "kg","")</f>
        <v/>
      </c>
      <c r="E16" s="56"/>
      <c r="F16" s="15"/>
      <c r="G16" s="15"/>
      <c r="H16" s="15"/>
      <c r="I16" s="15"/>
      <c r="J16" s="15"/>
    </row>
    <row r="17" spans="1:21" ht="15.5">
      <c r="A17" s="10" t="s">
        <v>8</v>
      </c>
      <c r="B17" s="125">
        <f>-B16*D26</f>
        <v>-76</v>
      </c>
      <c r="C17" s="113">
        <f>0.72*B17</f>
        <v>-54.72</v>
      </c>
      <c r="D17" s="11">
        <f>+D13</f>
        <v>1.2270000000000001</v>
      </c>
      <c r="E17" s="54">
        <f>IF(C17&lt;&gt;"",D17*C17,"")</f>
        <v>-67.141440000000003</v>
      </c>
    </row>
    <row r="18" spans="1:21" ht="15.5">
      <c r="A18" s="16"/>
      <c r="B18" s="119"/>
      <c r="C18" s="119"/>
      <c r="D18" s="79" t="str">
        <f>+IF(B16&gt;C26/D26,"attention autonomie MAXIMUM " &amp; ROUND(C26/D26,2) &amp; " heures","")</f>
        <v/>
      </c>
      <c r="E18" s="57"/>
    </row>
    <row r="19" spans="1:21" ht="16" thickBot="1">
      <c r="A19" s="17" t="s">
        <v>126</v>
      </c>
      <c r="B19" s="120"/>
      <c r="C19" s="120">
        <f>C15+C17</f>
        <v>1102.2735999999998</v>
      </c>
      <c r="D19" s="18">
        <f>E19/C19</f>
        <v>1.130285971831313</v>
      </c>
      <c r="E19" s="58">
        <f>E15+E17</f>
        <v>1245.8843871999998</v>
      </c>
    </row>
    <row r="20" spans="1:21">
      <c r="A20" s="228" t="s">
        <v>29</v>
      </c>
      <c r="B20" s="228"/>
      <c r="C20" s="228"/>
      <c r="D20" s="228"/>
      <c r="E20" s="228"/>
    </row>
    <row r="21" spans="1:21" ht="13.5" customHeight="1">
      <c r="A21" s="229" t="s">
        <v>26</v>
      </c>
      <c r="B21" s="229"/>
      <c r="C21" s="229"/>
      <c r="D21" s="229"/>
      <c r="E21" s="229"/>
    </row>
    <row r="22" spans="1:21" ht="14.25" customHeight="1">
      <c r="A22" s="19"/>
      <c r="B22" s="20"/>
      <c r="C22" s="21"/>
    </row>
    <row r="23" spans="1:21" ht="17.5" customHeight="1">
      <c r="B23" s="46" t="s">
        <v>13</v>
      </c>
    </row>
    <row r="24" spans="1:21" ht="17.5" customHeight="1" thickBot="1">
      <c r="C24" s="47" t="s">
        <v>14</v>
      </c>
      <c r="D24" s="47" t="s">
        <v>47</v>
      </c>
      <c r="E24" s="47" t="s">
        <v>15</v>
      </c>
    </row>
    <row r="25" spans="1:21" ht="18.75" customHeight="1">
      <c r="B25" s="48" t="s">
        <v>27</v>
      </c>
      <c r="C25" s="49">
        <v>210</v>
      </c>
      <c r="D25" s="50"/>
      <c r="E25" s="51"/>
      <c r="Q25" s="223" t="s">
        <v>19</v>
      </c>
      <c r="R25" s="224"/>
      <c r="S25" s="224"/>
      <c r="T25" s="225"/>
      <c r="U25" s="3"/>
    </row>
    <row r="26" spans="1:21" ht="18.75" customHeight="1">
      <c r="B26" s="48" t="s">
        <v>28</v>
      </c>
      <c r="C26" s="80">
        <f>IF(+B13&gt;C25,"attention max " &amp; ROUND(C25,0) &amp; " l",+B13)</f>
        <v>85.88</v>
      </c>
      <c r="D26" s="50">
        <v>38</v>
      </c>
      <c r="E26" s="81">
        <f>IF(C26&gt;C25,"Erreur",C26/D26*0.04166666667)</f>
        <v>9.4166666674199984E-2</v>
      </c>
      <c r="Q26" s="22"/>
      <c r="R26" s="23"/>
      <c r="S26" s="24" t="s">
        <v>9</v>
      </c>
      <c r="T26" s="25" t="s">
        <v>10</v>
      </c>
      <c r="U26" s="3"/>
    </row>
    <row r="27" spans="1:21" ht="26.25" customHeight="1" thickBot="1">
      <c r="Q27" s="33" t="s">
        <v>18</v>
      </c>
      <c r="R27" s="90" t="s">
        <v>20</v>
      </c>
      <c r="S27" s="91">
        <f>D6</f>
        <v>0.99299999999999999</v>
      </c>
      <c r="T27" s="92">
        <f>C6</f>
        <v>772.16</v>
      </c>
      <c r="U27" s="3"/>
    </row>
    <row r="28" spans="1:21" ht="18.75" customHeight="1">
      <c r="B28" s="46"/>
      <c r="Q28" s="98"/>
      <c r="R28" s="99" t="s">
        <v>11</v>
      </c>
      <c r="S28" s="100">
        <v>0.89</v>
      </c>
      <c r="T28" s="101">
        <v>600</v>
      </c>
      <c r="U28" s="234" t="s">
        <v>82</v>
      </c>
    </row>
    <row r="29" spans="1:21" ht="25">
      <c r="B29" s="46"/>
      <c r="Q29" s="102" t="s">
        <v>23</v>
      </c>
      <c r="R29" s="103" t="s">
        <v>11</v>
      </c>
      <c r="S29" s="104">
        <v>0.89</v>
      </c>
      <c r="T29" s="105">
        <v>885</v>
      </c>
      <c r="U29" s="235"/>
    </row>
    <row r="30" spans="1:21" ht="25">
      <c r="A30" s="52"/>
      <c r="Q30" s="106" t="s">
        <v>21</v>
      </c>
      <c r="R30" s="103" t="s">
        <v>11</v>
      </c>
      <c r="S30" s="104">
        <v>0.94299999999999995</v>
      </c>
      <c r="T30" s="105">
        <v>998</v>
      </c>
      <c r="U30" s="235"/>
    </row>
    <row r="31" spans="1:21" ht="37.5">
      <c r="Q31" s="106" t="s">
        <v>24</v>
      </c>
      <c r="R31" s="103" t="s">
        <v>11</v>
      </c>
      <c r="S31" s="104">
        <v>1.028</v>
      </c>
      <c r="T31" s="105">
        <f>+T30</f>
        <v>998</v>
      </c>
      <c r="U31" s="235"/>
    </row>
    <row r="32" spans="1:21" ht="18.75" customHeight="1" thickBot="1">
      <c r="Q32" s="107"/>
      <c r="R32" s="108" t="s">
        <v>11</v>
      </c>
      <c r="S32" s="109">
        <v>1.028</v>
      </c>
      <c r="T32" s="110">
        <v>600</v>
      </c>
      <c r="U32" s="236"/>
    </row>
    <row r="33" spans="1:21" ht="18.75" customHeight="1">
      <c r="B33" s="46"/>
      <c r="Q33" s="84"/>
      <c r="R33" s="85" t="s">
        <v>11</v>
      </c>
      <c r="S33" s="86">
        <v>0.89</v>
      </c>
      <c r="T33" s="96">
        <v>600</v>
      </c>
      <c r="U33" s="231" t="s">
        <v>83</v>
      </c>
    </row>
    <row r="34" spans="1:21" ht="25">
      <c r="B34" s="46"/>
      <c r="Q34" s="31" t="s">
        <v>85</v>
      </c>
      <c r="R34" s="29" t="s">
        <v>11</v>
      </c>
      <c r="S34" s="30">
        <v>0.89</v>
      </c>
      <c r="T34" s="95">
        <v>885</v>
      </c>
      <c r="U34" s="232"/>
    </row>
    <row r="35" spans="1:21" ht="25">
      <c r="A35" s="52"/>
      <c r="Q35" s="32" t="s">
        <v>21</v>
      </c>
      <c r="R35" s="29" t="s">
        <v>11</v>
      </c>
      <c r="S35" s="30">
        <v>1.016</v>
      </c>
      <c r="T35" s="95">
        <v>1157</v>
      </c>
      <c r="U35" s="232"/>
    </row>
    <row r="36" spans="1:21" ht="37.5">
      <c r="Q36" s="32" t="s">
        <v>24</v>
      </c>
      <c r="R36" s="29" t="s">
        <v>11</v>
      </c>
      <c r="S36" s="30">
        <v>1.2010000000000001</v>
      </c>
      <c r="T36" s="95">
        <f>+T35</f>
        <v>1157</v>
      </c>
      <c r="U36" s="232"/>
    </row>
    <row r="37" spans="1:21" ht="18.75" customHeight="1" thickBot="1">
      <c r="Q37" s="87"/>
      <c r="R37" s="88" t="s">
        <v>11</v>
      </c>
      <c r="S37" s="89">
        <v>1.2010000000000001</v>
      </c>
      <c r="T37" s="97">
        <v>600</v>
      </c>
      <c r="U37" s="233"/>
    </row>
    <row r="38" spans="1:21" ht="18.75" customHeight="1">
      <c r="Q38" s="230" t="s">
        <v>22</v>
      </c>
      <c r="R38" s="83" t="s">
        <v>12</v>
      </c>
      <c r="S38" s="93">
        <f>E15/C15</f>
        <v>1.1348600607643811</v>
      </c>
      <c r="T38" s="94">
        <f>C15</f>
        <v>1156.9935999999998</v>
      </c>
      <c r="U38" s="3"/>
    </row>
    <row r="39" spans="1:21" ht="18.75" customHeight="1" thickBot="1">
      <c r="Q39" s="227"/>
      <c r="R39" s="38" t="s">
        <v>12</v>
      </c>
      <c r="S39" s="39">
        <f>E19/C19</f>
        <v>1.130285971831313</v>
      </c>
      <c r="T39" s="71">
        <f>C19</f>
        <v>1102.2735999999998</v>
      </c>
      <c r="U39" s="3"/>
    </row>
    <row r="40" spans="1:21" ht="18.75" customHeight="1">
      <c r="G40" s="40"/>
      <c r="H40" s="41"/>
      <c r="I40" s="41"/>
    </row>
    <row r="41" spans="1:21" ht="18.75" customHeight="1">
      <c r="G41" s="40"/>
      <c r="H41" s="42"/>
      <c r="I41" s="41"/>
    </row>
    <row r="42" spans="1:21" ht="18.75" customHeight="1"/>
    <row r="43" spans="1:21" ht="17.5" customHeight="1"/>
    <row r="44" spans="1:21" ht="17.5" customHeight="1">
      <c r="G44" s="43"/>
      <c r="H44" s="44"/>
      <c r="I44" s="45"/>
    </row>
    <row r="45" spans="1:21" ht="17.5" customHeight="1"/>
    <row r="46" spans="1:21" ht="17.5" customHeight="1"/>
    <row r="47" spans="1:21" ht="17.5" customHeight="1"/>
    <row r="48" spans="1:21" ht="17.5" customHeight="1"/>
    <row r="49" ht="17.5" customHeight="1"/>
    <row r="50" ht="17.5" customHeight="1"/>
    <row r="51" ht="17.5" customHeight="1"/>
    <row r="52" ht="17.5" customHeight="1"/>
    <row r="53" ht="17.5" customHeight="1"/>
    <row r="54" ht="17.5" customHeight="1"/>
    <row r="55" ht="17.5" customHeight="1"/>
    <row r="56" ht="17.5" customHeight="1"/>
    <row r="57" ht="17.5" customHeight="1"/>
    <row r="58" ht="17.5" customHeight="1"/>
  </sheetData>
  <sheetProtection password="C746" sheet="1" objects="1" scenarios="1"/>
  <mergeCells count="7">
    <mergeCell ref="Q38:Q39"/>
    <mergeCell ref="U33:U37"/>
    <mergeCell ref="U28:U32"/>
    <mergeCell ref="Q25:T25"/>
    <mergeCell ref="A2:E2"/>
    <mergeCell ref="A20:E20"/>
    <mergeCell ref="A21:E21"/>
  </mergeCells>
  <conditionalFormatting sqref="D14 D16 D18">
    <cfRule type="cellIs" dxfId="16" priority="1" stopIfTrue="1" operator="notEqual">
      <formula>""</formula>
    </cfRule>
  </conditionalFormatting>
  <printOptions horizontalCentered="1"/>
  <pageMargins left="0.59055118110236227" right="0.47244094488188981" top="0.78740157480314965" bottom="0.78740157480314965" header="0.51181102362204722" footer="0.51181102362204722"/>
  <pageSetup paperSize="9" scale="60" orientation="landscape" r:id="rId1"/>
  <headerFooter alignWithMargins="0">
    <oddHeader>&amp;Rédité le &amp;D à &amp;T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Feuil11">
    <pageSetUpPr fitToPage="1"/>
  </sheetPr>
  <dimension ref="A1:T52"/>
  <sheetViews>
    <sheetView showGridLines="0" zoomScale="80" zoomScaleNormal="80" workbookViewId="0">
      <selection activeCell="B12" sqref="B12"/>
    </sheetView>
  </sheetViews>
  <sheetFormatPr baseColWidth="10" defaultRowHeight="12.5"/>
  <cols>
    <col min="1" max="1" width="28.1796875" style="3" customWidth="1"/>
    <col min="2" max="2" width="11.1796875" style="3" customWidth="1"/>
    <col min="3" max="3" width="19.1796875" style="3" customWidth="1"/>
    <col min="4" max="4" width="23.7265625" style="3" customWidth="1"/>
    <col min="5" max="5" width="17.81640625" style="3" customWidth="1"/>
    <col min="6" max="10" width="11.453125" style="3" customWidth="1"/>
    <col min="14" max="14" width="3.54296875" customWidth="1"/>
  </cols>
  <sheetData>
    <row r="1" spans="1:10" ht="73.5" customHeight="1">
      <c r="B1" s="2"/>
      <c r="C1" s="59"/>
      <c r="D1" s="2"/>
      <c r="E1" s="60"/>
      <c r="G1" s="4"/>
    </row>
    <row r="2" spans="1:10" ht="33" customHeight="1">
      <c r="A2" s="216" t="s">
        <v>196</v>
      </c>
      <c r="B2" s="216"/>
      <c r="C2" s="216"/>
      <c r="D2" s="216"/>
      <c r="E2" s="216"/>
      <c r="G2" s="4"/>
    </row>
    <row r="3" spans="1:10" ht="20">
      <c r="A3" s="2" t="s">
        <v>208</v>
      </c>
      <c r="B3" s="2"/>
      <c r="C3" s="2"/>
      <c r="D3" s="2"/>
      <c r="E3" s="2"/>
      <c r="G3" s="4"/>
    </row>
    <row r="4" spans="1:10" ht="20.5" thickBot="1">
      <c r="A4" s="2"/>
      <c r="B4" s="2"/>
      <c r="C4" s="2"/>
      <c r="D4" s="63" t="s">
        <v>127</v>
      </c>
      <c r="E4" s="5">
        <v>1150</v>
      </c>
    </row>
    <row r="5" spans="1:10" ht="15">
      <c r="A5" s="7"/>
      <c r="B5" s="8" t="s">
        <v>0</v>
      </c>
      <c r="C5" s="8" t="s">
        <v>1</v>
      </c>
      <c r="D5" s="8" t="s">
        <v>2</v>
      </c>
      <c r="E5" s="9" t="s">
        <v>3</v>
      </c>
      <c r="G5" s="6"/>
    </row>
    <row r="6" spans="1:10" ht="15.5">
      <c r="A6" s="10" t="s">
        <v>119</v>
      </c>
      <c r="B6" s="113"/>
      <c r="C6" s="114">
        <v>708.5</v>
      </c>
      <c r="D6" s="12">
        <v>0.26300000000000001</v>
      </c>
      <c r="E6" s="53">
        <v>185.98500000000001</v>
      </c>
    </row>
    <row r="7" spans="1:10" ht="15.5">
      <c r="A7" s="10" t="s">
        <v>4</v>
      </c>
      <c r="B7" s="113"/>
      <c r="C7" s="115">
        <v>77</v>
      </c>
      <c r="D7" s="11">
        <v>0.21</v>
      </c>
      <c r="E7" s="54">
        <f t="shared" ref="E7:E12" si="0">IF(C7&lt;&gt;"",D7*C7,"")</f>
        <v>16.169999999999998</v>
      </c>
    </row>
    <row r="8" spans="1:10" ht="15.5">
      <c r="A8" s="10" t="s">
        <v>5</v>
      </c>
      <c r="B8" s="113"/>
      <c r="C8" s="115">
        <v>77</v>
      </c>
      <c r="D8" s="11">
        <v>0.21</v>
      </c>
      <c r="E8" s="54">
        <f t="shared" si="0"/>
        <v>16.169999999999998</v>
      </c>
      <c r="G8" s="72"/>
    </row>
    <row r="9" spans="1:10" ht="15.5">
      <c r="A9" s="10" t="s">
        <v>6</v>
      </c>
      <c r="B9" s="113"/>
      <c r="C9" s="115">
        <v>77</v>
      </c>
      <c r="D9" s="11">
        <v>1</v>
      </c>
      <c r="E9" s="54">
        <f t="shared" si="0"/>
        <v>77</v>
      </c>
    </row>
    <row r="10" spans="1:10" ht="15.5">
      <c r="A10" s="10" t="s">
        <v>7</v>
      </c>
      <c r="B10" s="113"/>
      <c r="C10" s="115">
        <v>77</v>
      </c>
      <c r="D10" s="11">
        <v>1</v>
      </c>
      <c r="E10" s="54">
        <f t="shared" si="0"/>
        <v>77</v>
      </c>
    </row>
    <row r="11" spans="1:10" ht="15.5">
      <c r="A11" s="10" t="s">
        <v>90</v>
      </c>
      <c r="B11" s="113"/>
      <c r="C11" s="115">
        <v>10</v>
      </c>
      <c r="D11" s="11">
        <v>1.86</v>
      </c>
      <c r="E11" s="54">
        <f t="shared" si="0"/>
        <v>18.600000000000001</v>
      </c>
    </row>
    <row r="12" spans="1:10" ht="15.5">
      <c r="A12" s="10" t="s">
        <v>197</v>
      </c>
      <c r="B12" s="122">
        <v>150</v>
      </c>
      <c r="C12" s="116">
        <f>B12*0.72</f>
        <v>108</v>
      </c>
      <c r="D12" s="11">
        <v>0.36</v>
      </c>
      <c r="E12" s="54">
        <f t="shared" si="0"/>
        <v>38.879999999999995</v>
      </c>
    </row>
    <row r="13" spans="1:10" ht="15.5">
      <c r="A13" s="10"/>
      <c r="B13" s="113"/>
      <c r="C13" s="113"/>
      <c r="D13" s="79" t="str">
        <f>+IF(B12&gt;C24,"attention carburant MAXIMUM " &amp; ROUND(C24,0) &amp; "litres","")</f>
        <v/>
      </c>
      <c r="E13" s="54"/>
    </row>
    <row r="14" spans="1:10" ht="15">
      <c r="A14" s="13" t="s">
        <v>125</v>
      </c>
      <c r="B14" s="117"/>
      <c r="C14" s="117">
        <f>SUM(C6:C12)</f>
        <v>1134.5</v>
      </c>
      <c r="D14" s="14">
        <f>E14/C14</f>
        <v>0.37884971353018954</v>
      </c>
      <c r="E14" s="55">
        <f>SUM(E6:E12)</f>
        <v>429.80500000000001</v>
      </c>
    </row>
    <row r="15" spans="1:10" s="1" customFormat="1" ht="15.5">
      <c r="A15" s="10" t="s">
        <v>16</v>
      </c>
      <c r="B15" s="115">
        <v>1</v>
      </c>
      <c r="C15" s="118" t="s">
        <v>17</v>
      </c>
      <c r="D15" s="79" t="str">
        <f>+IF(C14&gt;E4,"attention surcharge " &amp; ROUND(C14-E4,0) &amp; "kg","")</f>
        <v/>
      </c>
      <c r="E15" s="56"/>
      <c r="F15" s="15"/>
      <c r="G15" s="15"/>
      <c r="H15" s="15"/>
      <c r="I15" s="15"/>
      <c r="J15" s="15"/>
    </row>
    <row r="16" spans="1:10" ht="15.5">
      <c r="A16" s="10" t="s">
        <v>8</v>
      </c>
      <c r="B16" s="125">
        <f>-B15*D25</f>
        <v>-40</v>
      </c>
      <c r="C16" s="113">
        <f>0.72*B16</f>
        <v>-28.799999999999997</v>
      </c>
      <c r="D16" s="11">
        <f>+D12</f>
        <v>0.36</v>
      </c>
      <c r="E16" s="54">
        <f>IF(C16&lt;&gt;"",D16*C16,"")</f>
        <v>-10.367999999999999</v>
      </c>
    </row>
    <row r="17" spans="1:20" ht="15.5">
      <c r="A17" s="16"/>
      <c r="B17" s="119"/>
      <c r="C17" s="119"/>
      <c r="D17" s="79" t="str">
        <f>+IF(B15&gt;C25/D25,"attention autonomie MAXIMUM " &amp; ROUND(C25/D25,2) &amp; " heures","")</f>
        <v/>
      </c>
      <c r="E17" s="57"/>
    </row>
    <row r="18" spans="1:20" ht="16" thickBot="1">
      <c r="A18" s="17" t="s">
        <v>126</v>
      </c>
      <c r="B18" s="120"/>
      <c r="C18" s="120">
        <f>C14+C16</f>
        <v>1105.7</v>
      </c>
      <c r="D18" s="18">
        <f>E18/C18</f>
        <v>0.37934068915619062</v>
      </c>
      <c r="E18" s="58">
        <f>E14+E16</f>
        <v>419.43700000000001</v>
      </c>
    </row>
    <row r="19" spans="1:20">
      <c r="A19" s="228" t="s">
        <v>29</v>
      </c>
      <c r="B19" s="228"/>
      <c r="C19" s="228"/>
      <c r="D19" s="228"/>
      <c r="E19" s="228"/>
    </row>
    <row r="20" spans="1:20" ht="13.5" customHeight="1">
      <c r="A20" s="229" t="s">
        <v>26</v>
      </c>
      <c r="B20" s="229"/>
      <c r="C20" s="229"/>
      <c r="D20" s="229"/>
      <c r="E20" s="229"/>
    </row>
    <row r="21" spans="1:20" ht="14.25" customHeight="1">
      <c r="A21" s="19"/>
      <c r="B21" s="20"/>
      <c r="C21" s="21"/>
    </row>
    <row r="22" spans="1:20" ht="17.5" customHeight="1">
      <c r="B22" s="46" t="s">
        <v>13</v>
      </c>
    </row>
    <row r="23" spans="1:20" ht="17.5" customHeight="1" thickBot="1">
      <c r="C23" s="47" t="s">
        <v>14</v>
      </c>
      <c r="D23" s="47" t="s">
        <v>47</v>
      </c>
      <c r="E23" s="47" t="s">
        <v>15</v>
      </c>
      <c r="G23" s="47"/>
    </row>
    <row r="24" spans="1:20" ht="18.75" customHeight="1">
      <c r="B24" s="48" t="s">
        <v>27</v>
      </c>
      <c r="C24" s="49">
        <v>228</v>
      </c>
      <c r="D24" s="50"/>
      <c r="E24" s="51"/>
      <c r="Q24" s="223" t="s">
        <v>19</v>
      </c>
      <c r="R24" s="224"/>
      <c r="S24" s="224"/>
      <c r="T24" s="225"/>
    </row>
    <row r="25" spans="1:20" ht="18.75" customHeight="1">
      <c r="B25" s="48" t="s">
        <v>28</v>
      </c>
      <c r="C25" s="80">
        <f>IF(B12&gt;C24,"attention max " &amp; ROUND(C24,0) &amp; " l",B12)</f>
        <v>150</v>
      </c>
      <c r="D25" s="50">
        <v>40</v>
      </c>
      <c r="E25" s="81">
        <f>IF(C25&gt;C24,"Erreur",C25/D25*0.04166666667)</f>
        <v>0.1562500000125</v>
      </c>
      <c r="Q25" s="22"/>
      <c r="R25" s="23"/>
      <c r="S25" s="24" t="s">
        <v>9</v>
      </c>
      <c r="T25" s="25" t="s">
        <v>10</v>
      </c>
    </row>
    <row r="26" spans="1:20" ht="25">
      <c r="Q26" s="26" t="s">
        <v>18</v>
      </c>
      <c r="R26" s="27" t="s">
        <v>20</v>
      </c>
      <c r="S26" s="28">
        <f>D6</f>
        <v>0.26300000000000001</v>
      </c>
      <c r="T26" s="69">
        <f>C6</f>
        <v>708.5</v>
      </c>
    </row>
    <row r="27" spans="1:20" ht="18.75" customHeight="1">
      <c r="B27" s="46"/>
      <c r="Q27" s="26"/>
      <c r="R27" s="29" t="s">
        <v>11</v>
      </c>
      <c r="S27" s="30">
        <v>0.20100000000000001</v>
      </c>
      <c r="T27" s="61">
        <v>650</v>
      </c>
    </row>
    <row r="28" spans="1:20" ht="25">
      <c r="B28" s="46"/>
      <c r="Q28" s="31" t="s">
        <v>198</v>
      </c>
      <c r="R28" s="29" t="s">
        <v>11</v>
      </c>
      <c r="S28" s="30">
        <v>0.20100000000000001</v>
      </c>
      <c r="T28" s="61">
        <v>940</v>
      </c>
    </row>
    <row r="29" spans="1:20" ht="25">
      <c r="A29" s="52"/>
      <c r="Q29" s="32" t="s">
        <v>21</v>
      </c>
      <c r="R29" s="29" t="s">
        <v>11</v>
      </c>
      <c r="S29" s="30">
        <v>0.33500000000000002</v>
      </c>
      <c r="T29" s="61">
        <f>+E4</f>
        <v>1150</v>
      </c>
    </row>
    <row r="30" spans="1:20" ht="37.5">
      <c r="Q30" s="32" t="s">
        <v>24</v>
      </c>
      <c r="R30" s="29" t="s">
        <v>11</v>
      </c>
      <c r="S30" s="30">
        <v>0.436</v>
      </c>
      <c r="T30" s="61">
        <f>+T29</f>
        <v>1150</v>
      </c>
    </row>
    <row r="31" spans="1:20" ht="18.75" customHeight="1" thickBot="1">
      <c r="Q31" s="33"/>
      <c r="R31" s="34" t="s">
        <v>11</v>
      </c>
      <c r="S31" s="30">
        <v>0.436</v>
      </c>
      <c r="T31" s="62">
        <v>650</v>
      </c>
    </row>
    <row r="32" spans="1:20" ht="18.75" customHeight="1">
      <c r="Q32" s="226" t="s">
        <v>22</v>
      </c>
      <c r="R32" s="36" t="s">
        <v>12</v>
      </c>
      <c r="S32" s="37">
        <f>E14/C14</f>
        <v>0.37884971353018954</v>
      </c>
      <c r="T32" s="70">
        <f>C14</f>
        <v>1134.5</v>
      </c>
    </row>
    <row r="33" spans="7:20" ht="18.75" customHeight="1" thickBot="1">
      <c r="Q33" s="227"/>
      <c r="R33" s="38" t="s">
        <v>12</v>
      </c>
      <c r="S33" s="39">
        <f>E18/C18</f>
        <v>0.37934068915619062</v>
      </c>
      <c r="T33" s="71">
        <f>C18</f>
        <v>1105.7</v>
      </c>
    </row>
    <row r="34" spans="7:20" ht="18.75" customHeight="1">
      <c r="G34" s="40"/>
      <c r="H34" s="41"/>
      <c r="I34" s="41"/>
    </row>
    <row r="35" spans="7:20" ht="18.75" customHeight="1">
      <c r="G35" s="40"/>
      <c r="H35" s="42"/>
      <c r="I35" s="41"/>
    </row>
    <row r="36" spans="7:20" ht="18.75" customHeight="1"/>
    <row r="37" spans="7:20" ht="17.5" customHeight="1"/>
    <row r="38" spans="7:20" ht="17.5" customHeight="1">
      <c r="G38" s="43"/>
      <c r="H38" s="44"/>
      <c r="I38" s="45"/>
    </row>
    <row r="39" spans="7:20" ht="17.5" customHeight="1"/>
    <row r="40" spans="7:20" ht="17.5" customHeight="1"/>
    <row r="41" spans="7:20" ht="17.5" customHeight="1"/>
    <row r="42" spans="7:20" ht="17.5" customHeight="1"/>
    <row r="43" spans="7:20" ht="17.5" customHeight="1"/>
    <row r="44" spans="7:20" ht="17.5" customHeight="1"/>
    <row r="45" spans="7:20" ht="17.5" customHeight="1"/>
    <row r="46" spans="7:20" ht="17.5" customHeight="1"/>
    <row r="47" spans="7:20" ht="17.5" customHeight="1"/>
    <row r="48" spans="7:20" ht="17.5" customHeight="1"/>
    <row r="49" ht="17.5" customHeight="1"/>
    <row r="50" ht="17.5" customHeight="1"/>
    <row r="51" ht="17.5" customHeight="1"/>
    <row r="52" ht="17.5" customHeight="1"/>
  </sheetData>
  <sheetProtection password="C746" sheet="1"/>
  <mergeCells count="5">
    <mergeCell ref="A2:E2"/>
    <mergeCell ref="A19:E19"/>
    <mergeCell ref="A20:E20"/>
    <mergeCell ref="Q24:T24"/>
    <mergeCell ref="Q32:Q33"/>
  </mergeCells>
  <conditionalFormatting sqref="D13 D15 D17">
    <cfRule type="cellIs" dxfId="15" priority="1" stopIfTrue="1" operator="notEqual">
      <formula>""</formula>
    </cfRule>
  </conditionalFormatting>
  <printOptions horizontalCentered="1"/>
  <pageMargins left="0.59055118110236227" right="0.47244094488188981" top="0.78740157480314965" bottom="0.78740157480314965" header="0.51181102362204722" footer="0.51181102362204722"/>
  <pageSetup paperSize="9" scale="66" orientation="landscape" r:id="rId1"/>
  <headerFooter alignWithMargins="0">
    <oddHeader>&amp;Rédité le &amp;D à &amp;T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euil10" enableFormatConditionsCalculation="0">
    <pageSetUpPr fitToPage="1"/>
  </sheetPr>
  <dimension ref="A1:U60"/>
  <sheetViews>
    <sheetView showGridLines="0" zoomScale="80" zoomScaleNormal="80" workbookViewId="0">
      <selection activeCell="C11" sqref="C11"/>
    </sheetView>
  </sheetViews>
  <sheetFormatPr baseColWidth="10" defaultRowHeight="12.5"/>
  <cols>
    <col min="1" max="1" width="33.26953125" style="3" customWidth="1"/>
    <col min="2" max="2" width="10" style="3" customWidth="1"/>
    <col min="3" max="3" width="17.7265625" style="3" customWidth="1"/>
    <col min="4" max="4" width="23.1796875" style="3" customWidth="1"/>
    <col min="5" max="5" width="17.26953125" style="3" customWidth="1"/>
    <col min="6" max="10" width="11.453125" style="3" customWidth="1"/>
    <col min="14" max="14" width="3.54296875" customWidth="1"/>
  </cols>
  <sheetData>
    <row r="1" spans="1:10" ht="73.5" customHeight="1">
      <c r="B1" s="2"/>
      <c r="C1" s="59"/>
      <c r="D1" s="2"/>
      <c r="E1" s="60"/>
      <c r="G1" s="4"/>
    </row>
    <row r="2" spans="1:10" ht="33" customHeight="1">
      <c r="A2" s="216" t="s">
        <v>98</v>
      </c>
      <c r="B2" s="216"/>
      <c r="C2" s="216"/>
      <c r="D2" s="216"/>
      <c r="E2" s="216"/>
      <c r="G2" s="4"/>
    </row>
    <row r="3" spans="1:10" ht="20">
      <c r="A3" s="127" t="s">
        <v>206</v>
      </c>
      <c r="B3" s="2"/>
      <c r="C3" s="2"/>
      <c r="D3" s="2"/>
      <c r="E3" s="2"/>
      <c r="G3" s="4"/>
    </row>
    <row r="4" spans="1:10" ht="20.5" thickBot="1">
      <c r="A4" s="2"/>
      <c r="B4" s="2"/>
      <c r="C4" s="2"/>
      <c r="D4" s="63" t="s">
        <v>127</v>
      </c>
      <c r="E4" s="5">
        <v>1100</v>
      </c>
    </row>
    <row r="5" spans="1:10" ht="15">
      <c r="A5" s="7"/>
      <c r="B5" s="8" t="s">
        <v>0</v>
      </c>
      <c r="C5" s="8" t="s">
        <v>1</v>
      </c>
      <c r="D5" s="8" t="s">
        <v>2</v>
      </c>
      <c r="E5" s="9" t="s">
        <v>3</v>
      </c>
      <c r="G5" s="6"/>
    </row>
    <row r="6" spans="1:10" ht="15.5">
      <c r="A6" s="10" t="s">
        <v>119</v>
      </c>
      <c r="B6" s="113"/>
      <c r="C6" s="114">
        <v>640.70000000000005</v>
      </c>
      <c r="D6" s="12">
        <v>0.33800000000000002</v>
      </c>
      <c r="E6" s="53">
        <v>216.55699999999999</v>
      </c>
    </row>
    <row r="7" spans="1:10" ht="15.5">
      <c r="A7" s="10" t="s">
        <v>4</v>
      </c>
      <c r="B7" s="113"/>
      <c r="C7" s="115">
        <v>77</v>
      </c>
      <c r="D7" s="11">
        <v>0.41</v>
      </c>
      <c r="E7" s="54">
        <f t="shared" ref="E7:E13" si="0">IF(C7&lt;&gt;"",D7*C7,"")</f>
        <v>31.569999999999997</v>
      </c>
    </row>
    <row r="8" spans="1:10" ht="15.5">
      <c r="A8" s="10" t="s">
        <v>5</v>
      </c>
      <c r="B8" s="113"/>
      <c r="C8" s="115">
        <v>77</v>
      </c>
      <c r="D8" s="11">
        <v>0.41</v>
      </c>
      <c r="E8" s="54">
        <f t="shared" si="0"/>
        <v>31.569999999999997</v>
      </c>
      <c r="G8" s="72"/>
    </row>
    <row r="9" spans="1:10" ht="15.5">
      <c r="A9" s="10" t="s">
        <v>6</v>
      </c>
      <c r="B9" s="113"/>
      <c r="C9" s="115">
        <v>0</v>
      </c>
      <c r="D9" s="11">
        <v>1.19</v>
      </c>
      <c r="E9" s="54">
        <f t="shared" si="0"/>
        <v>0</v>
      </c>
    </row>
    <row r="10" spans="1:10" ht="15.5">
      <c r="A10" s="10" t="s">
        <v>7</v>
      </c>
      <c r="B10" s="113"/>
      <c r="C10" s="115">
        <v>0</v>
      </c>
      <c r="D10" s="11">
        <v>1.19</v>
      </c>
      <c r="E10" s="54">
        <f t="shared" si="0"/>
        <v>0</v>
      </c>
    </row>
    <row r="11" spans="1:10" ht="15.5">
      <c r="A11" s="10" t="s">
        <v>90</v>
      </c>
      <c r="B11" s="113"/>
      <c r="C11" s="115">
        <v>10</v>
      </c>
      <c r="D11" s="11">
        <v>1.9</v>
      </c>
      <c r="E11" s="54">
        <f t="shared" si="0"/>
        <v>19</v>
      </c>
    </row>
    <row r="12" spans="1:10" ht="15.5">
      <c r="A12" s="10" t="s">
        <v>121</v>
      </c>
      <c r="B12" s="122">
        <v>27.77777</v>
      </c>
      <c r="C12" s="116">
        <f>B12*0.72</f>
        <v>19.999994399999999</v>
      </c>
      <c r="D12" s="182">
        <v>0.1</v>
      </c>
      <c r="E12" s="54">
        <f t="shared" si="0"/>
        <v>1.9999994399999999</v>
      </c>
    </row>
    <row r="13" spans="1:10" ht="15.5">
      <c r="A13" s="10" t="s">
        <v>122</v>
      </c>
      <c r="B13" s="122">
        <v>86.111099999999993</v>
      </c>
      <c r="C13" s="116">
        <f>B13*0.72</f>
        <v>61.999991999999992</v>
      </c>
      <c r="D13" s="182">
        <v>1.1200000000000001</v>
      </c>
      <c r="E13" s="54">
        <f t="shared" si="0"/>
        <v>69.439991039999995</v>
      </c>
    </row>
    <row r="14" spans="1:10" ht="15.5">
      <c r="A14" s="10"/>
      <c r="B14" s="113"/>
      <c r="C14" s="113"/>
      <c r="D14" s="79" t="str">
        <f>+IF(C27&gt;C26,"attention carburant MAXIMUM " &amp; ROUND(C26,0) &amp; "litres","")</f>
        <v/>
      </c>
      <c r="E14" s="54"/>
    </row>
    <row r="15" spans="1:10" ht="15">
      <c r="A15" s="13" t="s">
        <v>125</v>
      </c>
      <c r="B15" s="117"/>
      <c r="C15" s="117">
        <f>SUM(C6:C13)</f>
        <v>886.69998640000006</v>
      </c>
      <c r="D15" s="14">
        <f>E15/C15</f>
        <v>0.41743204709267601</v>
      </c>
      <c r="E15" s="55">
        <f>SUM(E6:E13)</f>
        <v>370.13699048000001</v>
      </c>
    </row>
    <row r="16" spans="1:10" s="1" customFormat="1" ht="15.5">
      <c r="A16" s="10" t="s">
        <v>16</v>
      </c>
      <c r="B16" s="115">
        <v>2</v>
      </c>
      <c r="C16" s="118" t="s">
        <v>17</v>
      </c>
      <c r="D16" s="79" t="str">
        <f>+IF(C15&gt;E4,"attention surcharge " &amp; ROUND(C15-E4,0) &amp; "kg","")</f>
        <v/>
      </c>
      <c r="E16" s="56"/>
      <c r="F16" s="15"/>
      <c r="G16" s="15"/>
      <c r="H16" s="15"/>
      <c r="I16" s="15"/>
      <c r="J16" s="15"/>
    </row>
    <row r="17" spans="1:21" s="1" customFormat="1" ht="15.5">
      <c r="A17" s="10" t="s">
        <v>107</v>
      </c>
      <c r="B17" s="144" t="s">
        <v>142</v>
      </c>
      <c r="C17" s="118" t="s">
        <v>147</v>
      </c>
      <c r="D17" s="79" t="str">
        <f>+IF(B16&gt;C27/D27,"attention autonomie MAXIMUM " &amp; ROUND(C27/D27,2) &amp; " heures","")</f>
        <v/>
      </c>
      <c r="E17" s="56"/>
      <c r="F17" s="15"/>
      <c r="G17" s="15"/>
      <c r="H17" s="15"/>
      <c r="I17" s="15"/>
      <c r="J17" s="15"/>
    </row>
    <row r="18" spans="1:21" ht="15.5">
      <c r="A18" s="111" t="s">
        <v>144</v>
      </c>
      <c r="B18" s="126">
        <f>IF(B17="non",IF(B$16*D$27&gt;B$12,-B$12,-B$16*D$27),IF(+B$16*D$27&gt;B$13,-B$16*D$27+B$13,0))</f>
        <v>0</v>
      </c>
      <c r="C18" s="113">
        <f>0.72*B18</f>
        <v>0</v>
      </c>
      <c r="D18" s="11">
        <f>+D12</f>
        <v>0.1</v>
      </c>
      <c r="E18" s="54">
        <f>IF(C18&lt;&gt;"",D18*C18,"")</f>
        <v>0</v>
      </c>
    </row>
    <row r="19" spans="1:21" ht="15.5">
      <c r="A19" s="111" t="s">
        <v>145</v>
      </c>
      <c r="B19" s="126">
        <f>IF(B17="non",IF(+B$16*D$27&gt;B$12,-B$16*D$27+B$12,0),IF(B$16*D$27&gt;B$13,-B$13,-B$16*D$27))</f>
        <v>-82</v>
      </c>
      <c r="C19" s="113">
        <f>0.72*B19</f>
        <v>-59.04</v>
      </c>
      <c r="D19" s="11">
        <f>+D13</f>
        <v>1.1200000000000001</v>
      </c>
      <c r="E19" s="54">
        <f>IF(C19&lt;&gt;"",D19*C19,"")</f>
        <v>-66.124800000000008</v>
      </c>
    </row>
    <row r="20" spans="1:21" ht="15.5">
      <c r="A20" s="111"/>
      <c r="B20" s="112"/>
      <c r="C20" s="237" t="str">
        <f>+IF(C21&gt;1045,"attention Masse MAXIMUM à l'atterrissage = 1045kg","")</f>
        <v/>
      </c>
      <c r="D20" s="238"/>
      <c r="E20" s="239"/>
    </row>
    <row r="21" spans="1:21" ht="16" thickBot="1">
      <c r="A21" s="17" t="s">
        <v>126</v>
      </c>
      <c r="B21" s="120"/>
      <c r="C21" s="120">
        <f>C15+C18+C19</f>
        <v>827.65998640000009</v>
      </c>
      <c r="D21" s="18">
        <f>E21/C21</f>
        <v>0.36731531725042688</v>
      </c>
      <c r="E21" s="58">
        <f>E15+E18+E19</f>
        <v>304.01219048000002</v>
      </c>
    </row>
    <row r="22" spans="1:21" ht="13" thickBot="1">
      <c r="A22" s="228" t="s">
        <v>29</v>
      </c>
      <c r="B22" s="228"/>
      <c r="C22" s="228"/>
      <c r="D22" s="228"/>
      <c r="E22" s="228"/>
    </row>
    <row r="23" spans="1:21" ht="13.5" customHeight="1">
      <c r="A23" s="229" t="s">
        <v>26</v>
      </c>
      <c r="B23" s="229"/>
      <c r="C23" s="229"/>
      <c r="D23" s="229"/>
      <c r="E23" s="229"/>
      <c r="F23" s="129" t="s">
        <v>132</v>
      </c>
      <c r="G23" s="130"/>
      <c r="H23" s="130"/>
      <c r="I23" s="130"/>
      <c r="J23" s="130"/>
      <c r="K23" s="131"/>
      <c r="L23" s="131"/>
      <c r="M23" s="131"/>
      <c r="N23" s="132"/>
    </row>
    <row r="24" spans="1:21" ht="14.25" customHeight="1">
      <c r="B24" s="46" t="s">
        <v>13</v>
      </c>
      <c r="F24" s="137" t="s">
        <v>133</v>
      </c>
      <c r="G24" s="138"/>
      <c r="H24" s="138"/>
      <c r="I24" s="138"/>
      <c r="J24" s="138"/>
      <c r="K24" s="139"/>
      <c r="L24" s="139"/>
      <c r="M24" s="139"/>
      <c r="N24" s="140"/>
    </row>
    <row r="25" spans="1:21" ht="17.5" customHeight="1" thickBot="1">
      <c r="C25" s="47" t="s">
        <v>14</v>
      </c>
      <c r="D25" s="47" t="s">
        <v>47</v>
      </c>
      <c r="E25" s="47" t="s">
        <v>15</v>
      </c>
      <c r="F25" s="133" t="s">
        <v>134</v>
      </c>
      <c r="G25" s="141"/>
      <c r="H25" s="134"/>
      <c r="I25" s="134"/>
      <c r="J25" s="134"/>
      <c r="K25" s="135"/>
      <c r="L25" s="135"/>
      <c r="M25" s="135"/>
      <c r="N25" s="136"/>
    </row>
    <row r="26" spans="1:21" ht="17.5" customHeight="1" thickBot="1">
      <c r="B26" s="48" t="s">
        <v>27</v>
      </c>
      <c r="C26" s="49">
        <v>180</v>
      </c>
      <c r="D26" s="50"/>
      <c r="E26" s="51"/>
      <c r="F26" s="128"/>
    </row>
    <row r="27" spans="1:21" ht="18.75" customHeight="1">
      <c r="B27" s="48" t="s">
        <v>28</v>
      </c>
      <c r="C27" s="80">
        <f>IF(+B13+B12&gt;C26,"attention max " &amp; ROUND(C26,0) &amp; " l",+B13+B12)</f>
        <v>113.88887</v>
      </c>
      <c r="D27" s="50">
        <v>41</v>
      </c>
      <c r="E27" s="81">
        <f>IF(C27&gt;C26,"Erreur",C27/D27*0.04166666667)</f>
        <v>0.1157407215539747</v>
      </c>
      <c r="Q27" s="223" t="s">
        <v>19</v>
      </c>
      <c r="R27" s="224"/>
      <c r="S27" s="224"/>
      <c r="T27" s="225"/>
      <c r="U27" s="3"/>
    </row>
    <row r="28" spans="1:21" ht="18.75" customHeight="1">
      <c r="Q28" s="22"/>
      <c r="R28" s="23"/>
      <c r="S28" s="24" t="s">
        <v>9</v>
      </c>
      <c r="T28" s="25" t="s">
        <v>10</v>
      </c>
      <c r="U28" s="3"/>
    </row>
    <row r="29" spans="1:21" ht="25.5" thickBot="1">
      <c r="B29" s="46"/>
      <c r="Q29" s="33" t="s">
        <v>18</v>
      </c>
      <c r="R29" s="90" t="s">
        <v>20</v>
      </c>
      <c r="S29" s="91">
        <f>D6</f>
        <v>0.33800000000000002</v>
      </c>
      <c r="T29" s="92">
        <f>C6</f>
        <v>640.70000000000005</v>
      </c>
      <c r="U29" s="3"/>
    </row>
    <row r="30" spans="1:21" ht="18.75" customHeight="1">
      <c r="B30" s="46"/>
      <c r="Q30" s="98"/>
      <c r="R30" s="99" t="s">
        <v>11</v>
      </c>
      <c r="S30" s="100">
        <v>0.20499999999999999</v>
      </c>
      <c r="T30" s="101">
        <v>582</v>
      </c>
      <c r="U30" s="234" t="s">
        <v>82</v>
      </c>
    </row>
    <row r="31" spans="1:21" ht="25">
      <c r="A31" s="52"/>
      <c r="Q31" s="102" t="s">
        <v>85</v>
      </c>
      <c r="R31" s="103" t="s">
        <v>11</v>
      </c>
      <c r="S31" s="104">
        <v>0.20499999999999999</v>
      </c>
      <c r="T31" s="105">
        <v>750</v>
      </c>
      <c r="U31" s="235"/>
    </row>
    <row r="32" spans="1:21" ht="25">
      <c r="Q32" s="106" t="s">
        <v>21</v>
      </c>
      <c r="R32" s="103" t="s">
        <v>11</v>
      </c>
      <c r="S32" s="104">
        <v>0.42799999999999999</v>
      </c>
      <c r="T32" s="105">
        <v>950</v>
      </c>
      <c r="U32" s="235"/>
    </row>
    <row r="33" spans="1:21" ht="37.5">
      <c r="Q33" s="106" t="s">
        <v>24</v>
      </c>
      <c r="R33" s="103" t="s">
        <v>11</v>
      </c>
      <c r="S33" s="104">
        <v>0.56399999999999995</v>
      </c>
      <c r="T33" s="105">
        <f>+T32</f>
        <v>950</v>
      </c>
      <c r="U33" s="235"/>
    </row>
    <row r="34" spans="1:21" ht="18.75" customHeight="1" thickBot="1">
      <c r="B34" s="46"/>
      <c r="Q34" s="107"/>
      <c r="R34" s="108" t="s">
        <v>11</v>
      </c>
      <c r="S34" s="109">
        <v>0.56399999999999995</v>
      </c>
      <c r="T34" s="110">
        <v>582</v>
      </c>
      <c r="U34" s="236"/>
    </row>
    <row r="35" spans="1:21" ht="18.75" customHeight="1">
      <c r="B35" s="46"/>
      <c r="Q35" s="84"/>
      <c r="R35" s="85" t="s">
        <v>11</v>
      </c>
      <c r="S35" s="86">
        <v>0.20499999999999999</v>
      </c>
      <c r="T35" s="96">
        <v>582</v>
      </c>
      <c r="U35" s="231" t="s">
        <v>83</v>
      </c>
    </row>
    <row r="36" spans="1:21" ht="25">
      <c r="B36" s="46"/>
      <c r="Q36" s="31" t="s">
        <v>85</v>
      </c>
      <c r="R36" s="29" t="s">
        <v>11</v>
      </c>
      <c r="S36" s="30">
        <v>0.20499999999999999</v>
      </c>
      <c r="T36" s="95">
        <v>750</v>
      </c>
      <c r="U36" s="232"/>
    </row>
    <row r="37" spans="1:21" ht="25">
      <c r="A37" s="52"/>
      <c r="Q37" s="32" t="s">
        <v>21</v>
      </c>
      <c r="R37" s="29" t="s">
        <v>11</v>
      </c>
      <c r="S37" s="30">
        <v>0.42799999999999999</v>
      </c>
      <c r="T37" s="95">
        <f>+E4</f>
        <v>1100</v>
      </c>
      <c r="U37" s="232"/>
    </row>
    <row r="38" spans="1:21" ht="37.5">
      <c r="Q38" s="32" t="s">
        <v>24</v>
      </c>
      <c r="R38" s="29" t="s">
        <v>11</v>
      </c>
      <c r="S38" s="30">
        <v>0.56399999999999995</v>
      </c>
      <c r="T38" s="95">
        <f>+T37</f>
        <v>1100</v>
      </c>
      <c r="U38" s="232"/>
    </row>
    <row r="39" spans="1:21" ht="18.75" customHeight="1" thickBot="1">
      <c r="A39" s="145"/>
      <c r="B39" s="146"/>
      <c r="Q39" s="87"/>
      <c r="R39" s="88" t="s">
        <v>11</v>
      </c>
      <c r="S39" s="89">
        <v>0.56399999999999995</v>
      </c>
      <c r="T39" s="97">
        <v>582</v>
      </c>
      <c r="U39" s="233"/>
    </row>
    <row r="40" spans="1:21" ht="18.75" customHeight="1">
      <c r="A40" s="148" t="s">
        <v>107</v>
      </c>
      <c r="B40" s="146"/>
      <c r="C40" s="149" t="s">
        <v>142</v>
      </c>
      <c r="Q40" s="230" t="s">
        <v>22</v>
      </c>
      <c r="R40" s="83" t="s">
        <v>12</v>
      </c>
      <c r="S40" s="93">
        <f>E15/C15</f>
        <v>0.41743204709267601</v>
      </c>
      <c r="T40" s="94">
        <f>C15</f>
        <v>886.69998640000006</v>
      </c>
      <c r="U40" s="3"/>
    </row>
    <row r="41" spans="1:21" ht="18.75" customHeight="1" thickBot="1">
      <c r="A41" s="147"/>
      <c r="B41" s="147"/>
      <c r="C41" s="149" t="s">
        <v>143</v>
      </c>
      <c r="Q41" s="227"/>
      <c r="R41" s="38" t="s">
        <v>12</v>
      </c>
      <c r="S41" s="39">
        <f>E21/C21</f>
        <v>0.36731531725042688</v>
      </c>
      <c r="T41" s="71">
        <f>C21</f>
        <v>827.65998640000009</v>
      </c>
      <c r="U41" s="3"/>
    </row>
    <row r="42" spans="1:21" ht="18.75" customHeight="1">
      <c r="A42" s="145"/>
      <c r="B42" s="146"/>
      <c r="G42" s="40"/>
      <c r="H42" s="41"/>
      <c r="I42" s="41"/>
    </row>
    <row r="43" spans="1:21" ht="18.75" customHeight="1">
      <c r="A43" s="145"/>
      <c r="B43" s="146"/>
      <c r="G43" s="40"/>
      <c r="H43" s="42"/>
      <c r="I43" s="41"/>
    </row>
    <row r="44" spans="1:21" ht="18.75" customHeight="1"/>
    <row r="45" spans="1:21" ht="17.5" customHeight="1"/>
    <row r="46" spans="1:21" ht="17.5" customHeight="1">
      <c r="G46" s="43"/>
      <c r="H46" s="44"/>
      <c r="I46" s="45"/>
    </row>
    <row r="47" spans="1:21" ht="17.5" customHeight="1"/>
    <row r="48" spans="1:21" ht="17.5" customHeight="1"/>
    <row r="49" ht="17.5" customHeight="1"/>
    <row r="50" ht="17.5" customHeight="1"/>
    <row r="51" ht="17.5" customHeight="1"/>
    <row r="52" ht="17.5" customHeight="1"/>
    <row r="53" ht="17.5" customHeight="1"/>
    <row r="54" ht="17.5" customHeight="1"/>
    <row r="55" ht="17.5" customHeight="1"/>
    <row r="56" ht="17.5" customHeight="1"/>
    <row r="57" ht="17.5" customHeight="1"/>
    <row r="58" ht="17.5" customHeight="1"/>
    <row r="59" ht="17.5" customHeight="1"/>
    <row r="60" ht="17.5" customHeight="1"/>
  </sheetData>
  <sheetProtection password="C746" sheet="1"/>
  <mergeCells count="8">
    <mergeCell ref="A2:E2"/>
    <mergeCell ref="A22:E22"/>
    <mergeCell ref="A23:E23"/>
    <mergeCell ref="Q40:Q41"/>
    <mergeCell ref="U35:U39"/>
    <mergeCell ref="U30:U34"/>
    <mergeCell ref="Q27:T27"/>
    <mergeCell ref="C20:E20"/>
  </mergeCells>
  <conditionalFormatting sqref="D16:D17 D14">
    <cfRule type="cellIs" dxfId="14" priority="3" stopIfTrue="1" operator="notEqual">
      <formula>""</formula>
    </cfRule>
  </conditionalFormatting>
  <conditionalFormatting sqref="D17">
    <cfRule type="cellIs" dxfId="13" priority="1" stopIfTrue="1" operator="notEqual">
      <formula>""</formula>
    </cfRule>
  </conditionalFormatting>
  <conditionalFormatting sqref="C20">
    <cfRule type="cellIs" dxfId="12" priority="2" stopIfTrue="1" operator="notEqual">
      <formula>""</formula>
    </cfRule>
  </conditionalFormatting>
  <dataValidations count="1">
    <dataValidation type="list" showInputMessage="1" showErrorMessage="1" error="utilisez la liste déroulante" prompt="utilisez la liste déroulante" sqref="B17">
      <formula1>$C$40:$C$41</formula1>
    </dataValidation>
  </dataValidations>
  <printOptions horizontalCentered="1"/>
  <pageMargins left="0.59055118110236227" right="0.47244094488188981" top="0.78740157480314965" bottom="0.78740157480314965" header="0.51181102362204722" footer="0.51181102362204722"/>
  <pageSetup paperSize="9" scale="58" orientation="landscape" r:id="rId1"/>
  <headerFooter alignWithMargins="0">
    <oddHeader>&amp;Rédité le &amp;D à &amp;T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 codeName="Feuil12">
    <pageSetUpPr fitToPage="1"/>
  </sheetPr>
  <dimension ref="A1:U60"/>
  <sheetViews>
    <sheetView showGridLines="0" zoomScale="80" zoomScaleNormal="80" workbookViewId="0">
      <selection activeCell="C10" sqref="C10"/>
    </sheetView>
  </sheetViews>
  <sheetFormatPr baseColWidth="10" defaultRowHeight="12.5"/>
  <cols>
    <col min="1" max="1" width="33.26953125" style="3" customWidth="1"/>
    <col min="2" max="2" width="10" style="3" customWidth="1"/>
    <col min="3" max="3" width="17.7265625" style="3" customWidth="1"/>
    <col min="4" max="4" width="23.1796875" style="3" customWidth="1"/>
    <col min="5" max="5" width="17.26953125" style="3" customWidth="1"/>
    <col min="6" max="10" width="11.453125" style="3" customWidth="1"/>
    <col min="14" max="14" width="3.54296875" customWidth="1"/>
  </cols>
  <sheetData>
    <row r="1" spans="1:10" ht="73.5" customHeight="1">
      <c r="B1" s="2"/>
      <c r="C1" s="59"/>
      <c r="D1" s="2"/>
      <c r="E1" s="60"/>
      <c r="G1" s="4"/>
    </row>
    <row r="2" spans="1:10" ht="33" customHeight="1">
      <c r="A2" s="216" t="s">
        <v>209</v>
      </c>
      <c r="B2" s="216"/>
      <c r="C2" s="216"/>
      <c r="D2" s="216"/>
      <c r="E2" s="216"/>
      <c r="G2" s="4"/>
    </row>
    <row r="3" spans="1:10" ht="20">
      <c r="A3" s="127" t="s">
        <v>210</v>
      </c>
      <c r="B3" s="2"/>
      <c r="C3" s="2"/>
      <c r="D3" s="2"/>
      <c r="E3" s="2"/>
      <c r="G3" s="4"/>
    </row>
    <row r="4" spans="1:10" ht="20.5" thickBot="1">
      <c r="A4" s="2"/>
      <c r="B4" s="2"/>
      <c r="C4" s="2"/>
      <c r="D4" s="63" t="s">
        <v>127</v>
      </c>
      <c r="E4" s="5">
        <v>1100</v>
      </c>
    </row>
    <row r="5" spans="1:10" ht="15">
      <c r="A5" s="7"/>
      <c r="B5" s="8" t="s">
        <v>0</v>
      </c>
      <c r="C5" s="8" t="s">
        <v>1</v>
      </c>
      <c r="D5" s="8" t="s">
        <v>2</v>
      </c>
      <c r="E5" s="9" t="s">
        <v>3</v>
      </c>
      <c r="G5" s="6"/>
    </row>
    <row r="6" spans="1:10" ht="15.5">
      <c r="A6" s="10" t="s">
        <v>119</v>
      </c>
      <c r="B6" s="113"/>
      <c r="C6" s="114">
        <v>630</v>
      </c>
      <c r="D6" s="12">
        <v>0.30099999999999999</v>
      </c>
      <c r="E6" s="53">
        <v>189.63</v>
      </c>
    </row>
    <row r="7" spans="1:10" ht="15.5">
      <c r="A7" s="10" t="s">
        <v>4</v>
      </c>
      <c r="B7" s="113"/>
      <c r="C7" s="115">
        <v>77</v>
      </c>
      <c r="D7" s="11">
        <v>0.41</v>
      </c>
      <c r="E7" s="54">
        <f t="shared" ref="E7:E13" si="0">IF(C7&lt;&gt;"",D7*C7,"")</f>
        <v>31.569999999999997</v>
      </c>
    </row>
    <row r="8" spans="1:10" ht="15.5">
      <c r="A8" s="10" t="s">
        <v>5</v>
      </c>
      <c r="B8" s="113"/>
      <c r="C8" s="115">
        <v>77</v>
      </c>
      <c r="D8" s="11">
        <v>0.41</v>
      </c>
      <c r="E8" s="54">
        <f t="shared" si="0"/>
        <v>31.569999999999997</v>
      </c>
      <c r="G8" s="72"/>
    </row>
    <row r="9" spans="1:10" ht="15.5">
      <c r="A9" s="10" t="s">
        <v>6</v>
      </c>
      <c r="B9" s="113"/>
      <c r="C9" s="115">
        <v>77</v>
      </c>
      <c r="D9" s="11">
        <v>1.19</v>
      </c>
      <c r="E9" s="54">
        <f t="shared" si="0"/>
        <v>91.63</v>
      </c>
    </row>
    <row r="10" spans="1:10" ht="15.5">
      <c r="A10" s="10" t="s">
        <v>7</v>
      </c>
      <c r="B10" s="113"/>
      <c r="C10" s="115">
        <v>77</v>
      </c>
      <c r="D10" s="11">
        <v>1.19</v>
      </c>
      <c r="E10" s="54">
        <f t="shared" si="0"/>
        <v>91.63</v>
      </c>
    </row>
    <row r="11" spans="1:10" ht="15.5">
      <c r="A11" s="10" t="s">
        <v>90</v>
      </c>
      <c r="B11" s="113"/>
      <c r="C11" s="115">
        <v>40</v>
      </c>
      <c r="D11" s="11">
        <v>1.9</v>
      </c>
      <c r="E11" s="54">
        <f t="shared" si="0"/>
        <v>76</v>
      </c>
    </row>
    <row r="12" spans="1:10" ht="15.5">
      <c r="A12" s="10" t="s">
        <v>121</v>
      </c>
      <c r="B12" s="122">
        <v>55.555500000000002</v>
      </c>
      <c r="C12" s="116">
        <f>B12*0.72</f>
        <v>39.999960000000002</v>
      </c>
      <c r="D12" s="182">
        <v>0.1</v>
      </c>
      <c r="E12" s="54">
        <f t="shared" si="0"/>
        <v>3.9999960000000003</v>
      </c>
    </row>
    <row r="13" spans="1:10" ht="15.5">
      <c r="A13" s="10" t="s">
        <v>122</v>
      </c>
      <c r="B13" s="122">
        <v>100</v>
      </c>
      <c r="C13" s="116">
        <f>B13*0.72</f>
        <v>72</v>
      </c>
      <c r="D13" s="11">
        <v>1.1200000000000001</v>
      </c>
      <c r="E13" s="184">
        <f t="shared" si="0"/>
        <v>80.640000000000015</v>
      </c>
    </row>
    <row r="14" spans="1:10" ht="15.5">
      <c r="A14" s="10"/>
      <c r="B14" s="113"/>
      <c r="C14" s="113"/>
      <c r="D14" s="79" t="str">
        <f>+IF(C27&gt;C26,"attention carburant MAXIMUM " &amp; ROUND(C26,0) &amp; "litres","")</f>
        <v/>
      </c>
      <c r="E14" s="54"/>
    </row>
    <row r="15" spans="1:10" ht="15">
      <c r="A15" s="13" t="s">
        <v>125</v>
      </c>
      <c r="B15" s="117"/>
      <c r="C15" s="117">
        <f>SUM(C6:C13)</f>
        <v>1089.9999600000001</v>
      </c>
      <c r="D15" s="14">
        <f>E15/C15</f>
        <v>0.54740368614325441</v>
      </c>
      <c r="E15" s="55">
        <f>SUM(E6:E13)</f>
        <v>596.66999599999997</v>
      </c>
    </row>
    <row r="16" spans="1:10" s="1" customFormat="1" ht="15.5">
      <c r="A16" s="10" t="s">
        <v>16</v>
      </c>
      <c r="B16" s="115">
        <v>2</v>
      </c>
      <c r="C16" s="118" t="s">
        <v>17</v>
      </c>
      <c r="D16" s="79" t="str">
        <f>+IF(C15&gt;E4,"attention surcharge " &amp; ROUND(C15-E4,0) &amp; "kg","")</f>
        <v/>
      </c>
      <c r="E16" s="56"/>
      <c r="F16" s="15"/>
      <c r="G16" s="15"/>
      <c r="H16" s="15"/>
      <c r="I16" s="15"/>
      <c r="J16" s="15"/>
    </row>
    <row r="17" spans="1:21" s="1" customFormat="1" ht="15.5">
      <c r="A17" s="10" t="s">
        <v>107</v>
      </c>
      <c r="B17" s="144" t="s">
        <v>142</v>
      </c>
      <c r="C17" s="118" t="s">
        <v>147</v>
      </c>
      <c r="D17" s="79" t="str">
        <f>+IF(B16&gt;C27/D27,"attention autonomie MAXIMUM " &amp; ROUND(C27/D27,2) &amp; " heures","")</f>
        <v/>
      </c>
      <c r="E17" s="56"/>
      <c r="F17" s="15"/>
      <c r="G17" s="15"/>
      <c r="H17" s="15"/>
      <c r="I17" s="15"/>
      <c r="J17" s="15"/>
    </row>
    <row r="18" spans="1:21" ht="15.5">
      <c r="A18" s="111" t="s">
        <v>144</v>
      </c>
      <c r="B18" s="126">
        <f>IF(B17="non",IF(B$16*D$27&gt;B$12,-B$12,-B$16*D$27),IF(+B$16*D$27&gt;B$13,-B$16*D$27+B$13,0))</f>
        <v>0</v>
      </c>
      <c r="C18" s="113">
        <f>0.72*B18</f>
        <v>0</v>
      </c>
      <c r="D18" s="11">
        <f>+D12</f>
        <v>0.1</v>
      </c>
      <c r="E18" s="54">
        <f>IF(C18&lt;&gt;"",D18*C18,"")</f>
        <v>0</v>
      </c>
    </row>
    <row r="19" spans="1:21" ht="15.5">
      <c r="A19" s="111" t="s">
        <v>145</v>
      </c>
      <c r="B19" s="126">
        <f>IF(B17="non",IF(+B$16*D$27&gt;B$12,-B$16*D$27+B$12,0),IF(B$16*D$27&gt;B$13,-B$13,-B$16*D$27))</f>
        <v>-82</v>
      </c>
      <c r="C19" s="113">
        <f>0.72*B19</f>
        <v>-59.04</v>
      </c>
      <c r="D19" s="11">
        <f>+D13</f>
        <v>1.1200000000000001</v>
      </c>
      <c r="E19" s="54">
        <f>IF(C19&lt;&gt;"",D19*C19,"")</f>
        <v>-66.124800000000008</v>
      </c>
    </row>
    <row r="20" spans="1:21" ht="15.5">
      <c r="A20" s="111"/>
      <c r="B20" s="112"/>
      <c r="C20" s="237" t="str">
        <f>+IF(C21&gt;1045,"attention Masse MAXIMUM à l'atterrissage = 1045kg","")</f>
        <v/>
      </c>
      <c r="D20" s="238"/>
      <c r="E20" s="239"/>
    </row>
    <row r="21" spans="1:21" ht="16" thickBot="1">
      <c r="A21" s="17" t="s">
        <v>126</v>
      </c>
      <c r="B21" s="120"/>
      <c r="C21" s="120">
        <f>C15+C18+C19</f>
        <v>1030.9599600000001</v>
      </c>
      <c r="D21" s="18">
        <f>E21/C21</f>
        <v>0.51461280416748667</v>
      </c>
      <c r="E21" s="58">
        <f>E15+E18+E19</f>
        <v>530.54519599999992</v>
      </c>
    </row>
    <row r="22" spans="1:21" ht="13" thickBot="1">
      <c r="A22" s="228" t="s">
        <v>29</v>
      </c>
      <c r="B22" s="228"/>
      <c r="C22" s="228"/>
      <c r="D22" s="228"/>
      <c r="E22" s="228"/>
    </row>
    <row r="23" spans="1:21" ht="13.5" customHeight="1">
      <c r="A23" s="229" t="s">
        <v>26</v>
      </c>
      <c r="B23" s="229"/>
      <c r="C23" s="229"/>
      <c r="D23" s="229"/>
      <c r="E23" s="229"/>
      <c r="F23" s="129" t="s">
        <v>132</v>
      </c>
      <c r="G23" s="130"/>
      <c r="H23" s="130"/>
      <c r="I23" s="130"/>
      <c r="J23" s="130"/>
      <c r="K23" s="131"/>
      <c r="L23" s="131"/>
      <c r="M23" s="131"/>
      <c r="N23" s="132"/>
    </row>
    <row r="24" spans="1:21" ht="14.25" customHeight="1">
      <c r="B24" s="46" t="s">
        <v>13</v>
      </c>
      <c r="F24" s="137" t="s">
        <v>133</v>
      </c>
      <c r="G24" s="138"/>
      <c r="H24" s="138"/>
      <c r="I24" s="138"/>
      <c r="J24" s="138"/>
      <c r="K24" s="139"/>
      <c r="L24" s="139"/>
      <c r="M24" s="139"/>
      <c r="N24" s="140"/>
    </row>
    <row r="25" spans="1:21" ht="17.5" customHeight="1" thickBot="1">
      <c r="C25" s="47" t="s">
        <v>14</v>
      </c>
      <c r="D25" s="47" t="s">
        <v>47</v>
      </c>
      <c r="E25" s="47" t="s">
        <v>15</v>
      </c>
      <c r="F25" s="133" t="s">
        <v>134</v>
      </c>
      <c r="G25" s="141"/>
      <c r="H25" s="134"/>
      <c r="I25" s="134"/>
      <c r="J25" s="134"/>
      <c r="K25" s="135"/>
      <c r="L25" s="135"/>
      <c r="M25" s="135"/>
      <c r="N25" s="136"/>
    </row>
    <row r="26" spans="1:21" ht="17.5" customHeight="1" thickBot="1">
      <c r="B26" s="48" t="s">
        <v>27</v>
      </c>
      <c r="C26" s="49">
        <v>180</v>
      </c>
      <c r="D26" s="50"/>
      <c r="E26" s="51"/>
      <c r="F26" s="128"/>
    </row>
    <row r="27" spans="1:21" ht="18.75" customHeight="1">
      <c r="B27" s="48" t="s">
        <v>28</v>
      </c>
      <c r="C27" s="80">
        <f>IF(+B13+B12&gt;C26,"attention max " &amp; ROUND(C26,0) &amp; " l",+B13+B12)</f>
        <v>155.55549999999999</v>
      </c>
      <c r="D27" s="50">
        <v>41</v>
      </c>
      <c r="E27" s="81">
        <f>IF(C27&gt;C26,"Erreur",C27/D27*0.04166666667)</f>
        <v>0.15808485773622402</v>
      </c>
      <c r="Q27" s="223" t="s">
        <v>19</v>
      </c>
      <c r="R27" s="224"/>
      <c r="S27" s="224"/>
      <c r="T27" s="225"/>
      <c r="U27" s="3"/>
    </row>
    <row r="28" spans="1:21" ht="18.75" customHeight="1">
      <c r="Q28" s="22"/>
      <c r="R28" s="23"/>
      <c r="S28" s="24" t="s">
        <v>9</v>
      </c>
      <c r="T28" s="25" t="s">
        <v>10</v>
      </c>
      <c r="U28" s="3"/>
    </row>
    <row r="29" spans="1:21" ht="25.5" thickBot="1">
      <c r="B29" s="46"/>
      <c r="Q29" s="33" t="s">
        <v>18</v>
      </c>
      <c r="R29" s="90" t="s">
        <v>20</v>
      </c>
      <c r="S29" s="91">
        <f>D6</f>
        <v>0.30099999999999999</v>
      </c>
      <c r="T29" s="92">
        <f>C6</f>
        <v>630</v>
      </c>
      <c r="U29" s="3"/>
    </row>
    <row r="30" spans="1:21" ht="18.75" customHeight="1">
      <c r="B30" s="46"/>
      <c r="Q30" s="98"/>
      <c r="R30" s="99" t="s">
        <v>11</v>
      </c>
      <c r="S30" s="100">
        <v>0.20499999999999999</v>
      </c>
      <c r="T30" s="101">
        <v>582</v>
      </c>
      <c r="U30" s="234" t="s">
        <v>82</v>
      </c>
    </row>
    <row r="31" spans="1:21" ht="25">
      <c r="A31" s="52"/>
      <c r="Q31" s="102" t="s">
        <v>85</v>
      </c>
      <c r="R31" s="103" t="s">
        <v>11</v>
      </c>
      <c r="S31" s="104">
        <v>0.20499999999999999</v>
      </c>
      <c r="T31" s="105">
        <v>750</v>
      </c>
      <c r="U31" s="235"/>
    </row>
    <row r="32" spans="1:21" ht="25">
      <c r="Q32" s="106" t="s">
        <v>21</v>
      </c>
      <c r="R32" s="103" t="s">
        <v>11</v>
      </c>
      <c r="S32" s="104">
        <v>0.42799999999999999</v>
      </c>
      <c r="T32" s="105">
        <v>950</v>
      </c>
      <c r="U32" s="235"/>
    </row>
    <row r="33" spans="1:21" ht="37.5">
      <c r="Q33" s="106" t="s">
        <v>24</v>
      </c>
      <c r="R33" s="103" t="s">
        <v>11</v>
      </c>
      <c r="S33" s="104">
        <v>0.56399999999999995</v>
      </c>
      <c r="T33" s="105">
        <f>+T32</f>
        <v>950</v>
      </c>
      <c r="U33" s="235"/>
    </row>
    <row r="34" spans="1:21" ht="18.75" customHeight="1" thickBot="1">
      <c r="B34" s="46"/>
      <c r="Q34" s="107"/>
      <c r="R34" s="108" t="s">
        <v>11</v>
      </c>
      <c r="S34" s="109">
        <v>0.56399999999999995</v>
      </c>
      <c r="T34" s="110">
        <v>582</v>
      </c>
      <c r="U34" s="236"/>
    </row>
    <row r="35" spans="1:21" ht="18.75" customHeight="1">
      <c r="B35" s="46"/>
      <c r="Q35" s="84"/>
      <c r="R35" s="85" t="s">
        <v>11</v>
      </c>
      <c r="S35" s="86">
        <v>0.20499999999999999</v>
      </c>
      <c r="T35" s="96">
        <v>582</v>
      </c>
      <c r="U35" s="231" t="s">
        <v>83</v>
      </c>
    </row>
    <row r="36" spans="1:21" ht="25">
      <c r="B36" s="46"/>
      <c r="Q36" s="31" t="s">
        <v>85</v>
      </c>
      <c r="R36" s="29" t="s">
        <v>11</v>
      </c>
      <c r="S36" s="30">
        <v>0.20499999999999999</v>
      </c>
      <c r="T36" s="95">
        <v>750</v>
      </c>
      <c r="U36" s="232"/>
    </row>
    <row r="37" spans="1:21" ht="25">
      <c r="A37" s="52"/>
      <c r="Q37" s="32" t="s">
        <v>21</v>
      </c>
      <c r="R37" s="29" t="s">
        <v>11</v>
      </c>
      <c r="S37" s="30">
        <v>0.42799999999999999</v>
      </c>
      <c r="T37" s="95">
        <f>+E4</f>
        <v>1100</v>
      </c>
      <c r="U37" s="232"/>
    </row>
    <row r="38" spans="1:21" ht="37.5">
      <c r="Q38" s="32" t="s">
        <v>24</v>
      </c>
      <c r="R38" s="29" t="s">
        <v>11</v>
      </c>
      <c r="S38" s="30">
        <v>0.56399999999999995</v>
      </c>
      <c r="T38" s="95">
        <f>+T37</f>
        <v>1100</v>
      </c>
      <c r="U38" s="232"/>
    </row>
    <row r="39" spans="1:21" ht="18.75" customHeight="1" thickBot="1">
      <c r="A39" s="145"/>
      <c r="B39" s="146"/>
      <c r="Q39" s="87"/>
      <c r="R39" s="88" t="s">
        <v>11</v>
      </c>
      <c r="S39" s="89">
        <v>0.56399999999999995</v>
      </c>
      <c r="T39" s="97">
        <v>582</v>
      </c>
      <c r="U39" s="233"/>
    </row>
    <row r="40" spans="1:21" ht="18.75" customHeight="1">
      <c r="A40" s="148" t="s">
        <v>107</v>
      </c>
      <c r="B40" s="146"/>
      <c r="C40" s="149" t="s">
        <v>142</v>
      </c>
      <c r="Q40" s="230" t="s">
        <v>22</v>
      </c>
      <c r="R40" s="83" t="s">
        <v>12</v>
      </c>
      <c r="S40" s="93">
        <f>E15/C15</f>
        <v>0.54740368614325441</v>
      </c>
      <c r="T40" s="94">
        <f>C15</f>
        <v>1089.9999600000001</v>
      </c>
      <c r="U40" s="3"/>
    </row>
    <row r="41" spans="1:21" ht="18.75" customHeight="1" thickBot="1">
      <c r="A41" s="147"/>
      <c r="B41" s="147"/>
      <c r="C41" s="149" t="s">
        <v>143</v>
      </c>
      <c r="Q41" s="227"/>
      <c r="R41" s="38" t="s">
        <v>12</v>
      </c>
      <c r="S41" s="39">
        <f>E21/C21</f>
        <v>0.51461280416748667</v>
      </c>
      <c r="T41" s="71">
        <f>C21</f>
        <v>1030.9599600000001</v>
      </c>
      <c r="U41" s="3"/>
    </row>
    <row r="42" spans="1:21" ht="18.75" customHeight="1">
      <c r="A42" s="145"/>
      <c r="B42" s="146"/>
      <c r="G42" s="40"/>
      <c r="H42" s="41"/>
      <c r="I42" s="41"/>
    </row>
    <row r="43" spans="1:21" ht="18.75" customHeight="1">
      <c r="A43" s="145"/>
      <c r="B43" s="146"/>
      <c r="G43" s="40"/>
      <c r="H43" s="42"/>
      <c r="I43" s="41"/>
    </row>
    <row r="44" spans="1:21" ht="18.75" customHeight="1"/>
    <row r="45" spans="1:21" ht="17.5" customHeight="1"/>
    <row r="46" spans="1:21" ht="17.5" customHeight="1">
      <c r="G46" s="43"/>
      <c r="H46" s="44"/>
      <c r="I46" s="45"/>
    </row>
    <row r="47" spans="1:21" ht="17.5" customHeight="1"/>
    <row r="48" spans="1:21" ht="17.5" customHeight="1"/>
    <row r="49" ht="17.5" customHeight="1"/>
    <row r="50" ht="17.5" customHeight="1"/>
    <row r="51" ht="17.5" customHeight="1"/>
    <row r="52" ht="17.5" customHeight="1"/>
    <row r="53" ht="17.5" customHeight="1"/>
    <row r="54" ht="17.5" customHeight="1"/>
    <row r="55" ht="17.5" customHeight="1"/>
    <row r="56" ht="17.5" customHeight="1"/>
    <row r="57" ht="17.5" customHeight="1"/>
    <row r="58" ht="17.5" customHeight="1"/>
    <row r="59" ht="17.5" customHeight="1"/>
    <row r="60" ht="17.5" customHeight="1"/>
  </sheetData>
  <sheetProtection password="C746" sheet="1"/>
  <mergeCells count="8">
    <mergeCell ref="U35:U39"/>
    <mergeCell ref="Q40:Q41"/>
    <mergeCell ref="A2:E2"/>
    <mergeCell ref="C20:E20"/>
    <mergeCell ref="A22:E22"/>
    <mergeCell ref="A23:E23"/>
    <mergeCell ref="Q27:T27"/>
    <mergeCell ref="U30:U34"/>
  </mergeCells>
  <conditionalFormatting sqref="D16:D17 D14">
    <cfRule type="cellIs" dxfId="11" priority="3" stopIfTrue="1" operator="notEqual">
      <formula>""</formula>
    </cfRule>
  </conditionalFormatting>
  <conditionalFormatting sqref="D17">
    <cfRule type="cellIs" dxfId="10" priority="2" stopIfTrue="1" operator="notEqual">
      <formula>""</formula>
    </cfRule>
  </conditionalFormatting>
  <conditionalFormatting sqref="C20">
    <cfRule type="cellIs" dxfId="9" priority="1" stopIfTrue="1" operator="notEqual">
      <formula>""</formula>
    </cfRule>
  </conditionalFormatting>
  <dataValidations count="1">
    <dataValidation type="list" showInputMessage="1" showErrorMessage="1" error="utilisez la liste déroulante" prompt="utilisez la liste déroulante" sqref="B17">
      <formula1>$C$40:$C$41</formula1>
    </dataValidation>
  </dataValidations>
  <printOptions horizontalCentered="1"/>
  <pageMargins left="0.59055118110236227" right="0.47244094488188981" top="0.78740157480314965" bottom="0.78740157480314965" header="0.51181102362204722" footer="0.51181102362204722"/>
  <pageSetup paperSize="9" scale="58" orientation="landscape" r:id="rId1"/>
  <headerFooter alignWithMargins="0">
    <oddHeader>&amp;Rédité le &amp;D à &amp;T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60"/>
  <sheetViews>
    <sheetView showGridLines="0" zoomScale="80" zoomScaleNormal="80" workbookViewId="0">
      <selection activeCell="B12" sqref="B12"/>
    </sheetView>
  </sheetViews>
  <sheetFormatPr baseColWidth="10" defaultRowHeight="12.5"/>
  <cols>
    <col min="1" max="1" width="33.26953125" style="3" customWidth="1"/>
    <col min="2" max="2" width="10" style="3" customWidth="1"/>
    <col min="3" max="3" width="17.7265625" style="3" customWidth="1"/>
    <col min="4" max="4" width="23.1796875" style="3" customWidth="1"/>
    <col min="5" max="5" width="17.26953125" style="3" customWidth="1"/>
    <col min="6" max="10" width="11.453125" style="3" customWidth="1"/>
    <col min="14" max="14" width="3.54296875" customWidth="1"/>
  </cols>
  <sheetData>
    <row r="1" spans="1:10" ht="73.5" customHeight="1">
      <c r="B1" s="2"/>
      <c r="C1" s="59"/>
      <c r="D1" s="2"/>
      <c r="E1" s="60"/>
      <c r="G1" s="4"/>
    </row>
    <row r="2" spans="1:10" ht="33" customHeight="1">
      <c r="A2" s="216" t="s">
        <v>220</v>
      </c>
      <c r="B2" s="216"/>
      <c r="C2" s="216"/>
      <c r="D2" s="216"/>
      <c r="E2" s="216"/>
      <c r="G2" s="4"/>
    </row>
    <row r="3" spans="1:10" ht="20">
      <c r="A3" s="127" t="s">
        <v>224</v>
      </c>
      <c r="B3" s="2"/>
      <c r="C3" s="2"/>
      <c r="D3" s="2"/>
      <c r="E3" s="2"/>
      <c r="G3" s="4"/>
    </row>
    <row r="4" spans="1:10" ht="20.5" thickBot="1">
      <c r="A4" s="2"/>
      <c r="B4" s="2"/>
      <c r="C4" s="2"/>
      <c r="D4" s="63" t="s">
        <v>127</v>
      </c>
      <c r="E4" s="5">
        <v>1000</v>
      </c>
    </row>
    <row r="5" spans="1:10" ht="15">
      <c r="A5" s="7"/>
      <c r="B5" s="8" t="s">
        <v>0</v>
      </c>
      <c r="C5" s="8" t="s">
        <v>1</v>
      </c>
      <c r="D5" s="8" t="s">
        <v>2</v>
      </c>
      <c r="E5" s="9" t="s">
        <v>3</v>
      </c>
      <c r="G5" s="6"/>
    </row>
    <row r="6" spans="1:10" ht="15.5">
      <c r="A6" s="10" t="s">
        <v>119</v>
      </c>
      <c r="B6" s="113"/>
      <c r="C6" s="114">
        <v>624</v>
      </c>
      <c r="D6" s="12">
        <v>0.43</v>
      </c>
      <c r="E6" s="53">
        <f>+C6*D6</f>
        <v>268.32</v>
      </c>
    </row>
    <row r="7" spans="1:10" ht="15.5">
      <c r="A7" s="10" t="s">
        <v>4</v>
      </c>
      <c r="B7" s="113"/>
      <c r="C7" s="115">
        <v>77</v>
      </c>
      <c r="D7" s="11">
        <v>0.41</v>
      </c>
      <c r="E7" s="54">
        <f t="shared" ref="E7:E13" si="0">IF(C7&lt;&gt;"",D7*C7,"")</f>
        <v>31.569999999999997</v>
      </c>
    </row>
    <row r="8" spans="1:10" ht="15.5">
      <c r="A8" s="10" t="s">
        <v>5</v>
      </c>
      <c r="B8" s="113"/>
      <c r="C8" s="115">
        <v>77</v>
      </c>
      <c r="D8" s="11">
        <v>0.41</v>
      </c>
      <c r="E8" s="54">
        <f t="shared" si="0"/>
        <v>31.569999999999997</v>
      </c>
      <c r="G8" s="72"/>
    </row>
    <row r="9" spans="1:10" ht="15.5">
      <c r="A9" s="10" t="s">
        <v>6</v>
      </c>
      <c r="B9" s="113"/>
      <c r="C9" s="115">
        <v>77</v>
      </c>
      <c r="D9" s="11">
        <v>1.19</v>
      </c>
      <c r="E9" s="54">
        <f t="shared" si="0"/>
        <v>91.63</v>
      </c>
    </row>
    <row r="10" spans="1:10" ht="15.5">
      <c r="A10" s="10" t="s">
        <v>7</v>
      </c>
      <c r="B10" s="113"/>
      <c r="C10" s="115">
        <v>0</v>
      </c>
      <c r="D10" s="11">
        <v>1.19</v>
      </c>
      <c r="E10" s="54">
        <f t="shared" si="0"/>
        <v>0</v>
      </c>
    </row>
    <row r="11" spans="1:10" ht="15.5">
      <c r="A11" s="10" t="s">
        <v>90</v>
      </c>
      <c r="B11" s="113"/>
      <c r="C11" s="115">
        <v>10</v>
      </c>
      <c r="D11" s="11">
        <v>1.9</v>
      </c>
      <c r="E11" s="54">
        <f t="shared" si="0"/>
        <v>19</v>
      </c>
    </row>
    <row r="12" spans="1:10" ht="15.5">
      <c r="A12" s="10" t="s">
        <v>122</v>
      </c>
      <c r="B12" s="122">
        <v>108.333</v>
      </c>
      <c r="C12" s="116">
        <f>B12*0.72</f>
        <v>77.999759999999995</v>
      </c>
      <c r="D12" s="182">
        <v>1.1200000000000001</v>
      </c>
      <c r="E12" s="54">
        <f t="shared" si="0"/>
        <v>87.359731199999999</v>
      </c>
    </row>
    <row r="13" spans="1:10" ht="15.5">
      <c r="A13" s="10" t="s">
        <v>228</v>
      </c>
      <c r="B13" s="122">
        <v>0</v>
      </c>
      <c r="C13" s="116">
        <f>B13*0.72</f>
        <v>0</v>
      </c>
      <c r="D13" s="11">
        <v>1.61</v>
      </c>
      <c r="E13" s="184">
        <f t="shared" si="0"/>
        <v>0</v>
      </c>
    </row>
    <row r="14" spans="1:10" ht="15.5">
      <c r="A14" s="10"/>
      <c r="B14" s="113"/>
      <c r="C14" s="113"/>
      <c r="D14" s="79" t="str">
        <f>+IF(C27&lt;+B12+B13,"attention carburant MAX. Util. " &amp; ROUND(C27,0) &amp; "litres","")</f>
        <v>attention carburant MAX. Util. 100litres</v>
      </c>
      <c r="E14" s="54"/>
    </row>
    <row r="15" spans="1:10" ht="15">
      <c r="A15" s="13" t="s">
        <v>125</v>
      </c>
      <c r="B15" s="117"/>
      <c r="C15" s="117">
        <f>SUM(C6:C13)</f>
        <v>942.99976000000004</v>
      </c>
      <c r="D15" s="14">
        <f>E15/C15</f>
        <v>0.5614526680261297</v>
      </c>
      <c r="E15" s="55">
        <f>SUM(E6:E13)</f>
        <v>529.44973119999997</v>
      </c>
    </row>
    <row r="16" spans="1:10" s="1" customFormat="1" ht="15.5">
      <c r="A16" s="10" t="s">
        <v>16</v>
      </c>
      <c r="B16" s="115">
        <v>2</v>
      </c>
      <c r="C16" s="118" t="s">
        <v>17</v>
      </c>
      <c r="D16" s="79" t="str">
        <f>+IF(C15&gt;E4,"attention surcharge " &amp; ROUND(C15-E4,0) &amp; "kg","")</f>
        <v/>
      </c>
      <c r="E16" s="56"/>
      <c r="F16" s="15"/>
      <c r="G16" s="15"/>
      <c r="H16" s="15"/>
      <c r="I16" s="15"/>
      <c r="J16" s="15"/>
    </row>
    <row r="17" spans="1:21" s="1" customFormat="1" ht="15.5">
      <c r="A17" s="10" t="s">
        <v>107</v>
      </c>
      <c r="B17" s="185" t="s">
        <v>142</v>
      </c>
      <c r="C17" s="118"/>
      <c r="D17" s="79" t="str">
        <f>+IF(B16&gt;C27/D27,"attention autonomie MAXIMUM " &amp; ROUND(C27/D27,2) &amp; " heures","")</f>
        <v/>
      </c>
      <c r="E17" s="56"/>
      <c r="F17" s="15"/>
      <c r="G17" s="15"/>
      <c r="H17" s="15"/>
      <c r="I17" s="15"/>
      <c r="J17" s="15"/>
    </row>
    <row r="18" spans="1:21" ht="15.5">
      <c r="A18" s="111" t="s">
        <v>145</v>
      </c>
      <c r="B18" s="126">
        <f>IF(B17="oui",IF(B$16*D$27&gt;B$12,-B$12,-B$16*D$27),IF(+B$16*D$27&gt;B$13,-B$16*D$27+B$13,0))</f>
        <v>-66</v>
      </c>
      <c r="C18" s="113">
        <f>0.72*B18</f>
        <v>-47.519999999999996</v>
      </c>
      <c r="D18" s="11">
        <f>+D12</f>
        <v>1.1200000000000001</v>
      </c>
      <c r="E18" s="54">
        <f>IF(C18&lt;&gt;"",D18*C18,"")</f>
        <v>-53.2224</v>
      </c>
    </row>
    <row r="19" spans="1:21" ht="15.5">
      <c r="A19" s="111" t="s">
        <v>223</v>
      </c>
      <c r="B19" s="126">
        <f>IF(B17="oui",IF(+B$16*D$27&gt;B$12,-B$16*D$27+B$12,0),IF(B$16*D$27&gt;B$13,-B$13,-B$16*D$27))</f>
        <v>0</v>
      </c>
      <c r="C19" s="113">
        <f>0.72*B19</f>
        <v>0</v>
      </c>
      <c r="D19" s="11">
        <f>+D13</f>
        <v>1.61</v>
      </c>
      <c r="E19" s="54">
        <f>IF(C19&lt;&gt;"",D19*C19,"")</f>
        <v>0</v>
      </c>
    </row>
    <row r="20" spans="1:21" ht="15.5">
      <c r="A20" s="111"/>
      <c r="B20" s="112"/>
      <c r="C20" s="237" t="str">
        <f>+IF(C21&gt;1045,"attention Masse MAXIMUM à l'atterrissage = 1045kg","")</f>
        <v/>
      </c>
      <c r="D20" s="238"/>
      <c r="E20" s="239"/>
    </row>
    <row r="21" spans="1:21" ht="16" thickBot="1">
      <c r="A21" s="17" t="s">
        <v>126</v>
      </c>
      <c r="B21" s="120"/>
      <c r="C21" s="120">
        <f>C15+C18+C19</f>
        <v>895.47976000000006</v>
      </c>
      <c r="D21" s="18">
        <f>E21/C21</f>
        <v>0.53181250149082093</v>
      </c>
      <c r="E21" s="58">
        <f>E15+E18+E19</f>
        <v>476.22733119999998</v>
      </c>
    </row>
    <row r="22" spans="1:21" ht="13" thickBot="1">
      <c r="A22" s="228" t="s">
        <v>29</v>
      </c>
      <c r="B22" s="228"/>
      <c r="C22" s="228"/>
      <c r="D22" s="228"/>
      <c r="E22" s="228"/>
    </row>
    <row r="23" spans="1:21" ht="13.5" customHeight="1">
      <c r="A23" s="229" t="s">
        <v>26</v>
      </c>
      <c r="B23" s="229"/>
      <c r="C23" s="229"/>
      <c r="D23" s="229"/>
      <c r="E23" s="229"/>
      <c r="F23" s="129" t="s">
        <v>221</v>
      </c>
      <c r="G23" s="130"/>
      <c r="H23" s="130"/>
      <c r="I23" s="130"/>
      <c r="J23" s="130"/>
      <c r="K23" s="131"/>
      <c r="L23" s="131"/>
      <c r="M23" s="131"/>
      <c r="N23" s="132"/>
    </row>
    <row r="24" spans="1:21" ht="14.25" customHeight="1">
      <c r="B24" s="46" t="s">
        <v>13</v>
      </c>
      <c r="F24" s="137" t="s">
        <v>222</v>
      </c>
      <c r="G24" s="138"/>
      <c r="H24" s="138"/>
      <c r="I24" s="138"/>
      <c r="J24" s="138"/>
      <c r="K24" s="139"/>
      <c r="L24" s="139"/>
      <c r="M24" s="139"/>
      <c r="N24" s="140"/>
    </row>
    <row r="25" spans="1:21" ht="17.5" customHeight="1" thickBot="1">
      <c r="C25" s="47" t="s">
        <v>14</v>
      </c>
      <c r="D25" s="47" t="s">
        <v>47</v>
      </c>
      <c r="E25" s="47" t="s">
        <v>15</v>
      </c>
      <c r="F25" s="133"/>
      <c r="G25" s="141"/>
      <c r="H25" s="134"/>
      <c r="I25" s="134"/>
      <c r="J25" s="134"/>
      <c r="K25" s="135"/>
      <c r="L25" s="135"/>
      <c r="M25" s="135"/>
      <c r="N25" s="136"/>
    </row>
    <row r="26" spans="1:21" ht="17.5" customHeight="1" thickBot="1">
      <c r="B26" s="48" t="s">
        <v>27</v>
      </c>
      <c r="C26" s="49">
        <f>100+50</f>
        <v>150</v>
      </c>
      <c r="D26" s="50"/>
      <c r="E26" s="51"/>
      <c r="F26" s="128"/>
    </row>
    <row r="27" spans="1:21" ht="18.75" customHeight="1">
      <c r="B27" s="48" t="s">
        <v>28</v>
      </c>
      <c r="C27" s="49">
        <f>+IF(B12&gt;100,100,B12)+IF(B13&gt;50,50,B13)</f>
        <v>100</v>
      </c>
      <c r="D27" s="50">
        <v>33</v>
      </c>
      <c r="E27" s="81">
        <f>IF(C27&gt;C26,"Erreur",C27/D27*0.04166666667)</f>
        <v>0.12626262627272727</v>
      </c>
      <c r="Q27" s="223" t="s">
        <v>19</v>
      </c>
      <c r="R27" s="224"/>
      <c r="S27" s="224"/>
      <c r="T27" s="225"/>
      <c r="U27" s="3"/>
    </row>
    <row r="28" spans="1:21" ht="18.75" customHeight="1">
      <c r="Q28" s="22"/>
      <c r="R28" s="23"/>
      <c r="S28" s="24" t="s">
        <v>9</v>
      </c>
      <c r="T28" s="25" t="s">
        <v>10</v>
      </c>
      <c r="U28" s="3"/>
    </row>
    <row r="29" spans="1:21" ht="25.5" thickBot="1">
      <c r="B29" s="46"/>
      <c r="Q29" s="33" t="s">
        <v>18</v>
      </c>
      <c r="R29" s="90" t="s">
        <v>20</v>
      </c>
      <c r="S29" s="91">
        <f>D6</f>
        <v>0.43</v>
      </c>
      <c r="T29" s="92">
        <f>C6</f>
        <v>624</v>
      </c>
      <c r="U29" s="3"/>
    </row>
    <row r="30" spans="1:21" ht="18.75" customHeight="1">
      <c r="B30" s="46"/>
      <c r="Q30" s="98"/>
      <c r="R30" s="99" t="s">
        <v>11</v>
      </c>
      <c r="S30" s="100">
        <v>0.20499999999999999</v>
      </c>
      <c r="T30" s="101">
        <v>582</v>
      </c>
      <c r="U30" s="234" t="s">
        <v>82</v>
      </c>
    </row>
    <row r="31" spans="1:21" ht="25">
      <c r="A31" s="52"/>
      <c r="Q31" s="102" t="s">
        <v>85</v>
      </c>
      <c r="R31" s="103" t="s">
        <v>11</v>
      </c>
      <c r="S31" s="104">
        <v>0.20499999999999999</v>
      </c>
      <c r="T31" s="105">
        <v>750</v>
      </c>
      <c r="U31" s="235"/>
    </row>
    <row r="32" spans="1:21" ht="25">
      <c r="Q32" s="106" t="s">
        <v>21</v>
      </c>
      <c r="R32" s="103" t="s">
        <v>11</v>
      </c>
      <c r="S32" s="104">
        <v>0.42799999999999999</v>
      </c>
      <c r="T32" s="105">
        <v>910</v>
      </c>
      <c r="U32" s="235"/>
    </row>
    <row r="33" spans="1:21" ht="37.5">
      <c r="Q33" s="106" t="s">
        <v>24</v>
      </c>
      <c r="R33" s="103" t="s">
        <v>11</v>
      </c>
      <c r="S33" s="104">
        <v>0.56399999999999995</v>
      </c>
      <c r="T33" s="105">
        <f>+T32</f>
        <v>910</v>
      </c>
      <c r="U33" s="235"/>
    </row>
    <row r="34" spans="1:21" ht="18.75" customHeight="1" thickBot="1">
      <c r="B34" s="46"/>
      <c r="Q34" s="107"/>
      <c r="R34" s="108" t="s">
        <v>11</v>
      </c>
      <c r="S34" s="109">
        <v>0.56399999999999995</v>
      </c>
      <c r="T34" s="110">
        <v>582</v>
      </c>
      <c r="U34" s="236"/>
    </row>
    <row r="35" spans="1:21" ht="18.75" customHeight="1">
      <c r="B35" s="46"/>
      <c r="Q35" s="84"/>
      <c r="R35" s="85" t="s">
        <v>11</v>
      </c>
      <c r="S35" s="86">
        <v>0.20499999999999999</v>
      </c>
      <c r="T35" s="96">
        <v>582</v>
      </c>
      <c r="U35" s="231" t="s">
        <v>83</v>
      </c>
    </row>
    <row r="36" spans="1:21" ht="25">
      <c r="B36" s="46"/>
      <c r="Q36" s="31" t="s">
        <v>85</v>
      </c>
      <c r="R36" s="29" t="s">
        <v>11</v>
      </c>
      <c r="S36" s="30">
        <v>0.20499999999999999</v>
      </c>
      <c r="T36" s="95">
        <v>750</v>
      </c>
      <c r="U36" s="232"/>
    </row>
    <row r="37" spans="1:21" ht="25">
      <c r="A37" s="52"/>
      <c r="Q37" s="32" t="s">
        <v>21</v>
      </c>
      <c r="R37" s="29" t="s">
        <v>11</v>
      </c>
      <c r="S37" s="30">
        <v>0.42799999999999999</v>
      </c>
      <c r="T37" s="95">
        <f>+E4</f>
        <v>1000</v>
      </c>
      <c r="U37" s="232"/>
    </row>
    <row r="38" spans="1:21" ht="37.5">
      <c r="A38" s="138"/>
      <c r="B38" s="138"/>
      <c r="C38" s="138"/>
      <c r="Q38" s="32" t="s">
        <v>24</v>
      </c>
      <c r="R38" s="29" t="s">
        <v>11</v>
      </c>
      <c r="S38" s="30">
        <v>0.56399999999999995</v>
      </c>
      <c r="T38" s="95">
        <f>+T37</f>
        <v>1000</v>
      </c>
      <c r="U38" s="232"/>
    </row>
    <row r="39" spans="1:21" ht="18.75" customHeight="1" thickBot="1">
      <c r="A39" s="145"/>
      <c r="B39" s="146"/>
      <c r="C39" s="138"/>
      <c r="Q39" s="87"/>
      <c r="R39" s="88" t="s">
        <v>11</v>
      </c>
      <c r="S39" s="89">
        <v>0.56399999999999995</v>
      </c>
      <c r="T39" s="97">
        <v>582</v>
      </c>
      <c r="U39" s="233"/>
    </row>
    <row r="40" spans="1:21" ht="18.75" customHeight="1">
      <c r="A40" s="145"/>
      <c r="B40" s="146"/>
      <c r="C40" s="147"/>
      <c r="Q40" s="230" t="s">
        <v>22</v>
      </c>
      <c r="R40" s="83" t="s">
        <v>12</v>
      </c>
      <c r="S40" s="93">
        <f>E15/C15</f>
        <v>0.5614526680261297</v>
      </c>
      <c r="T40" s="94">
        <f>C15</f>
        <v>942.99976000000004</v>
      </c>
      <c r="U40" s="3"/>
    </row>
    <row r="41" spans="1:21" ht="18.75" customHeight="1" thickBot="1">
      <c r="A41" s="147"/>
      <c r="B41" s="147"/>
      <c r="C41" s="147"/>
      <c r="Q41" s="227"/>
      <c r="R41" s="38" t="s">
        <v>12</v>
      </c>
      <c r="S41" s="39">
        <f>E21/C21</f>
        <v>0.53181250149082093</v>
      </c>
      <c r="T41" s="71">
        <f>C21</f>
        <v>895.47976000000006</v>
      </c>
      <c r="U41" s="3"/>
    </row>
    <row r="42" spans="1:21" ht="18.75" customHeight="1">
      <c r="A42" s="145"/>
      <c r="B42" s="146"/>
      <c r="C42" s="138"/>
      <c r="G42" s="40"/>
      <c r="H42" s="41"/>
      <c r="I42" s="41"/>
    </row>
    <row r="43" spans="1:21" ht="18.75" customHeight="1">
      <c r="A43" s="145"/>
      <c r="B43" s="146"/>
      <c r="C43" s="138"/>
      <c r="G43" s="40"/>
      <c r="H43" s="42"/>
      <c r="I43" s="41"/>
    </row>
    <row r="44" spans="1:21" ht="18.75" customHeight="1"/>
    <row r="45" spans="1:21" ht="17.5" customHeight="1"/>
    <row r="46" spans="1:21" ht="17.5" customHeight="1">
      <c r="G46" s="43"/>
      <c r="H46" s="44"/>
      <c r="I46" s="45"/>
    </row>
    <row r="47" spans="1:21" ht="17.5" customHeight="1"/>
    <row r="48" spans="1:21" ht="17.5" customHeight="1"/>
    <row r="49" ht="17.5" customHeight="1"/>
    <row r="50" ht="17.5" customHeight="1"/>
    <row r="51" ht="17.5" customHeight="1"/>
    <row r="52" ht="17.5" customHeight="1"/>
    <row r="53" ht="17.5" customHeight="1"/>
    <row r="54" ht="17.5" customHeight="1"/>
    <row r="55" ht="17.5" customHeight="1"/>
    <row r="56" ht="17.5" customHeight="1"/>
    <row r="57" ht="17.5" customHeight="1"/>
    <row r="58" ht="17.5" customHeight="1"/>
    <row r="59" ht="17.5" customHeight="1"/>
    <row r="60" ht="17.5" customHeight="1"/>
  </sheetData>
  <sheetProtection password="C746" sheet="1" objects="1" scenarios="1"/>
  <mergeCells count="8">
    <mergeCell ref="U35:U39"/>
    <mergeCell ref="Q40:Q41"/>
    <mergeCell ref="A2:E2"/>
    <mergeCell ref="C20:E20"/>
    <mergeCell ref="A22:E22"/>
    <mergeCell ref="A23:E23"/>
    <mergeCell ref="Q27:T27"/>
    <mergeCell ref="U30:U34"/>
  </mergeCells>
  <conditionalFormatting sqref="D16:D17 D14">
    <cfRule type="cellIs" dxfId="8" priority="3" stopIfTrue="1" operator="notEqual">
      <formula>""</formula>
    </cfRule>
  </conditionalFormatting>
  <conditionalFormatting sqref="D17">
    <cfRule type="cellIs" dxfId="7" priority="2" stopIfTrue="1" operator="notEqual">
      <formula>""</formula>
    </cfRule>
  </conditionalFormatting>
  <conditionalFormatting sqref="C20">
    <cfRule type="cellIs" dxfId="6" priority="1" stopIfTrue="1" operator="notEqual">
      <formula>""</formula>
    </cfRule>
  </conditionalFormatting>
  <dataValidations xWindow="374" yWindow="610" count="1">
    <dataValidation showDropDown="1" showErrorMessage="1" error="utilisez la liste déroulante" prompt="utilisez la liste déroulante" sqref="B17"/>
  </dataValidations>
  <printOptions horizontalCentered="1"/>
  <pageMargins left="0.59055118110236227" right="0.47244094488188981" top="0.78740157480314965" bottom="0.78740157480314965" header="0.51181102362204722" footer="0.51181102362204722"/>
  <pageSetup paperSize="9" scale="58" orientation="landscape" r:id="rId1"/>
  <headerFooter alignWithMargins="0">
    <oddHeader>&amp;Rédité le &amp;D à &amp;T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euil6" enableFormatConditionsCalculation="0">
    <pageSetUpPr fitToPage="1"/>
  </sheetPr>
  <dimension ref="A1:T50"/>
  <sheetViews>
    <sheetView showGridLines="0" zoomScale="90" zoomScaleNormal="90" workbookViewId="0">
      <selection activeCell="S27" sqref="S27"/>
    </sheetView>
  </sheetViews>
  <sheetFormatPr baseColWidth="10" defaultRowHeight="12.5"/>
  <cols>
    <col min="1" max="1" width="28.1796875" style="3" customWidth="1"/>
    <col min="2" max="2" width="11" style="3" customWidth="1"/>
    <col min="3" max="3" width="14.26953125" style="3" customWidth="1"/>
    <col min="4" max="4" width="24" style="3" customWidth="1"/>
    <col min="5" max="5" width="17.7265625" style="3" customWidth="1"/>
    <col min="6" max="10" width="11.453125" style="3" customWidth="1"/>
    <col min="14" max="14" width="4" customWidth="1"/>
  </cols>
  <sheetData>
    <row r="1" spans="1:10" ht="73.5" customHeight="1">
      <c r="B1" s="2"/>
      <c r="C1" s="59"/>
      <c r="D1" s="2"/>
      <c r="E1" s="60"/>
      <c r="G1" s="4"/>
    </row>
    <row r="2" spans="1:10" ht="33" customHeight="1">
      <c r="A2" s="216" t="s">
        <v>49</v>
      </c>
      <c r="B2" s="216"/>
      <c r="C2" s="216"/>
      <c r="D2" s="216"/>
      <c r="E2" s="216"/>
      <c r="G2" s="4"/>
    </row>
    <row r="3" spans="1:10" ht="20">
      <c r="A3" s="2" t="s">
        <v>170</v>
      </c>
      <c r="B3" s="2"/>
      <c r="C3" s="2"/>
      <c r="D3" s="2"/>
      <c r="E3" s="2"/>
      <c r="G3" s="4"/>
    </row>
    <row r="4" spans="1:10" ht="20.5" thickBot="1">
      <c r="A4" s="2"/>
      <c r="B4" s="2"/>
      <c r="C4" s="2"/>
      <c r="D4" s="63" t="s">
        <v>127</v>
      </c>
      <c r="E4" s="5">
        <v>726</v>
      </c>
    </row>
    <row r="5" spans="1:10" ht="15">
      <c r="A5" s="7"/>
      <c r="B5" s="8" t="s">
        <v>0</v>
      </c>
      <c r="C5" s="8" t="s">
        <v>1</v>
      </c>
      <c r="D5" s="8" t="s">
        <v>2</v>
      </c>
      <c r="E5" s="9" t="s">
        <v>3</v>
      </c>
      <c r="G5" s="6"/>
    </row>
    <row r="6" spans="1:10" ht="15.5">
      <c r="A6" s="10" t="s">
        <v>119</v>
      </c>
      <c r="B6" s="113"/>
      <c r="C6" s="114">
        <v>528</v>
      </c>
      <c r="D6" s="12">
        <v>0.85399999999999998</v>
      </c>
      <c r="E6" s="53">
        <v>450.91</v>
      </c>
      <c r="G6" s="73"/>
    </row>
    <row r="7" spans="1:10" ht="15.5">
      <c r="A7" s="10" t="s">
        <v>4</v>
      </c>
      <c r="B7" s="113"/>
      <c r="C7" s="115">
        <v>77</v>
      </c>
      <c r="D7" s="11">
        <v>1</v>
      </c>
      <c r="E7" s="54">
        <f>IF(C7&lt;&gt;"",D7*C7,"")</f>
        <v>77</v>
      </c>
    </row>
    <row r="8" spans="1:10" ht="15.5">
      <c r="A8" s="10" t="s">
        <v>5</v>
      </c>
      <c r="B8" s="113"/>
      <c r="C8" s="115">
        <v>77</v>
      </c>
      <c r="D8" s="11">
        <v>1</v>
      </c>
      <c r="E8" s="54">
        <f>IF(C8&lt;&gt;"",D8*C8,"")</f>
        <v>77</v>
      </c>
      <c r="G8" s="72"/>
    </row>
    <row r="9" spans="1:10" ht="15.5">
      <c r="A9" s="10" t="s">
        <v>52</v>
      </c>
      <c r="B9" s="113"/>
      <c r="C9" s="115">
        <v>0</v>
      </c>
      <c r="D9" s="11">
        <v>1.63</v>
      </c>
      <c r="E9" s="54">
        <f>IF(C9&lt;&gt;"",D9*C9,"")</f>
        <v>0</v>
      </c>
    </row>
    <row r="10" spans="1:10" ht="15.5">
      <c r="A10" s="10" t="s">
        <v>51</v>
      </c>
      <c r="B10" s="122">
        <v>60</v>
      </c>
      <c r="C10" s="116">
        <f>B10*0.72</f>
        <v>43.199999999999996</v>
      </c>
      <c r="D10" s="11">
        <v>1.07</v>
      </c>
      <c r="E10" s="54">
        <f>IF(C10&lt;&gt;"",D10*C10,"")</f>
        <v>46.223999999999997</v>
      </c>
    </row>
    <row r="11" spans="1:10" ht="15.5">
      <c r="A11" s="10"/>
      <c r="B11" s="113"/>
      <c r="C11" s="113"/>
      <c r="D11" s="79" t="str">
        <f>+IF(B10&gt;C22,"attention carburant MAXIMUM " &amp; ROUND(C22,0) &amp; "litres","")</f>
        <v/>
      </c>
      <c r="E11" s="54"/>
    </row>
    <row r="12" spans="1:10" ht="15">
      <c r="A12" s="13" t="s">
        <v>125</v>
      </c>
      <c r="B12" s="117"/>
      <c r="C12" s="117">
        <f>SUM(C6:C10)</f>
        <v>725.2</v>
      </c>
      <c r="D12" s="14">
        <f>E12/C12</f>
        <v>0.89786817429674581</v>
      </c>
      <c r="E12" s="55">
        <f>SUM(E6:E10)</f>
        <v>651.13400000000013</v>
      </c>
    </row>
    <row r="13" spans="1:10" s="1" customFormat="1" ht="15.5">
      <c r="A13" s="10" t="s">
        <v>16</v>
      </c>
      <c r="B13" s="115">
        <v>1</v>
      </c>
      <c r="C13" s="118" t="s">
        <v>17</v>
      </c>
      <c r="D13" s="79" t="str">
        <f>+IF(C12&gt;E4,"attention surcharge " &amp; ROUND(C12-E4,0) &amp; "kg","")</f>
        <v/>
      </c>
      <c r="E13" s="56"/>
      <c r="F13" s="15"/>
      <c r="G13" s="15"/>
      <c r="H13" s="15"/>
      <c r="I13" s="15"/>
      <c r="J13" s="15"/>
    </row>
    <row r="14" spans="1:10" ht="15.5">
      <c r="A14" s="10" t="s">
        <v>8</v>
      </c>
      <c r="B14" s="125">
        <f>-B13*D23</f>
        <v>-22</v>
      </c>
      <c r="C14" s="113">
        <f>0.72*B14</f>
        <v>-15.84</v>
      </c>
      <c r="D14" s="11">
        <f>+D10</f>
        <v>1.07</v>
      </c>
      <c r="E14" s="54">
        <f>IF(C14&lt;&gt;"",D14*C14,"")</f>
        <v>-16.948800000000002</v>
      </c>
    </row>
    <row r="15" spans="1:10" ht="15.5">
      <c r="A15" s="16"/>
      <c r="B15" s="119"/>
      <c r="C15" s="119"/>
      <c r="D15" s="79" t="str">
        <f>+IF(B13&gt;C23/D23,"attention autonomie MAXIMUM " &amp; ROUND(C23/D23,2) &amp; " heures","")</f>
        <v/>
      </c>
      <c r="E15" s="57"/>
    </row>
    <row r="16" spans="1:10" ht="16" thickBot="1">
      <c r="A16" s="17" t="s">
        <v>126</v>
      </c>
      <c r="B16" s="120"/>
      <c r="C16" s="120">
        <f>C12+C14</f>
        <v>709.36</v>
      </c>
      <c r="D16" s="18">
        <f>E16/C16</f>
        <v>0.89402447276418195</v>
      </c>
      <c r="E16" s="58">
        <f>E12+E14</f>
        <v>634.18520000000012</v>
      </c>
    </row>
    <row r="17" spans="1:20">
      <c r="A17" s="228" t="s">
        <v>29</v>
      </c>
      <c r="B17" s="228"/>
      <c r="C17" s="228"/>
      <c r="D17" s="228"/>
      <c r="E17" s="228"/>
    </row>
    <row r="18" spans="1:20" ht="13.5" customHeight="1">
      <c r="A18" s="229" t="s">
        <v>26</v>
      </c>
      <c r="B18" s="229"/>
      <c r="C18" s="229"/>
      <c r="D18" s="229"/>
      <c r="E18" s="229"/>
    </row>
    <row r="19" spans="1:20" ht="14.25" customHeight="1">
      <c r="A19" s="19"/>
      <c r="B19" s="20"/>
      <c r="C19" s="21"/>
    </row>
    <row r="20" spans="1:20" ht="17.5" customHeight="1">
      <c r="B20" s="46" t="s">
        <v>13</v>
      </c>
    </row>
    <row r="21" spans="1:20" ht="17.5" customHeight="1" thickBot="1">
      <c r="C21" s="47" t="s">
        <v>14</v>
      </c>
      <c r="D21" s="47" t="s">
        <v>47</v>
      </c>
      <c r="E21" s="47" t="s">
        <v>15</v>
      </c>
    </row>
    <row r="22" spans="1:20" ht="18.75" customHeight="1">
      <c r="B22" s="48" t="s">
        <v>27</v>
      </c>
      <c r="C22" s="49">
        <v>132</v>
      </c>
      <c r="D22" s="50"/>
      <c r="E22" s="51"/>
      <c r="Q22" s="223" t="s">
        <v>19</v>
      </c>
      <c r="R22" s="224"/>
      <c r="S22" s="224"/>
      <c r="T22" s="225"/>
    </row>
    <row r="23" spans="1:20" ht="18.75" customHeight="1">
      <c r="B23" s="48" t="s">
        <v>28</v>
      </c>
      <c r="C23" s="80">
        <f>IF(B10&gt;C22,"attention max " &amp; ROUND(C22,0) &amp; " l",B10)</f>
        <v>60</v>
      </c>
      <c r="D23" s="50">
        <v>22</v>
      </c>
      <c r="E23" s="81">
        <f>IF(C23&gt;C22,"Erreur",C23/D23*0.04166666667)</f>
        <v>0.11363636364545453</v>
      </c>
      <c r="Q23" s="22"/>
      <c r="R23" s="23"/>
      <c r="S23" s="24" t="s">
        <v>9</v>
      </c>
      <c r="T23" s="25" t="s">
        <v>10</v>
      </c>
    </row>
    <row r="24" spans="1:20" ht="25">
      <c r="Q24" s="26" t="s">
        <v>18</v>
      </c>
      <c r="R24" s="27" t="s">
        <v>20</v>
      </c>
      <c r="S24" s="28">
        <f>D6</f>
        <v>0.85399999999999998</v>
      </c>
      <c r="T24" s="69">
        <f>C6</f>
        <v>528</v>
      </c>
    </row>
    <row r="25" spans="1:20" ht="18.75" customHeight="1">
      <c r="B25" s="46"/>
      <c r="Q25" s="26"/>
      <c r="R25" s="29" t="s">
        <v>11</v>
      </c>
      <c r="S25" s="30">
        <v>0.83499999999999996</v>
      </c>
      <c r="T25" s="61">
        <v>530</v>
      </c>
    </row>
    <row r="26" spans="1:20" ht="25">
      <c r="B26" s="46"/>
      <c r="Q26" s="31" t="s">
        <v>50</v>
      </c>
      <c r="R26" s="29" t="s">
        <v>11</v>
      </c>
      <c r="S26" s="30">
        <v>0.83499999999999996</v>
      </c>
      <c r="T26" s="61">
        <v>580</v>
      </c>
    </row>
    <row r="27" spans="1:20" ht="25">
      <c r="A27" s="52"/>
      <c r="Q27" s="32" t="s">
        <v>21</v>
      </c>
      <c r="R27" s="29" t="s">
        <v>11</v>
      </c>
      <c r="S27" s="30">
        <v>0.83499999999999996</v>
      </c>
      <c r="T27" s="61">
        <f>+E4</f>
        <v>726</v>
      </c>
    </row>
    <row r="28" spans="1:20" ht="37.5">
      <c r="Q28" s="32" t="s">
        <v>24</v>
      </c>
      <c r="R28" s="29" t="s">
        <v>11</v>
      </c>
      <c r="S28" s="30">
        <v>0.95199999999999996</v>
      </c>
      <c r="T28" s="61">
        <f>+T27</f>
        <v>726</v>
      </c>
    </row>
    <row r="29" spans="1:20" ht="18.75" customHeight="1" thickBot="1">
      <c r="Q29" s="33"/>
      <c r="R29" s="34" t="s">
        <v>11</v>
      </c>
      <c r="S29" s="30">
        <v>0.95199999999999996</v>
      </c>
      <c r="T29" s="62">
        <v>530</v>
      </c>
    </row>
    <row r="30" spans="1:20" ht="18.75" customHeight="1">
      <c r="Q30" s="226" t="s">
        <v>22</v>
      </c>
      <c r="R30" s="36" t="s">
        <v>12</v>
      </c>
      <c r="S30" s="37">
        <f>E12/C12</f>
        <v>0.89786817429674581</v>
      </c>
      <c r="T30" s="70">
        <f>C12</f>
        <v>725.2</v>
      </c>
    </row>
    <row r="31" spans="1:20" ht="18.75" customHeight="1" thickBot="1">
      <c r="Q31" s="227"/>
      <c r="R31" s="38" t="s">
        <v>12</v>
      </c>
      <c r="S31" s="39">
        <f>E16/C16</f>
        <v>0.89402447276418195</v>
      </c>
      <c r="T31" s="71">
        <f>C16</f>
        <v>709.36</v>
      </c>
    </row>
    <row r="32" spans="1:20" ht="18.75" customHeight="1">
      <c r="G32" s="40"/>
      <c r="H32" s="41"/>
      <c r="I32" s="41"/>
    </row>
    <row r="33" spans="7:9" ht="18.75" customHeight="1">
      <c r="G33" s="40"/>
      <c r="H33" s="42"/>
      <c r="I33" s="41"/>
    </row>
    <row r="34" spans="7:9" ht="18.75" customHeight="1"/>
    <row r="35" spans="7:9" ht="17.5" customHeight="1"/>
    <row r="36" spans="7:9" ht="17.5" customHeight="1">
      <c r="G36" s="43"/>
      <c r="H36" s="44"/>
      <c r="I36" s="45"/>
    </row>
    <row r="37" spans="7:9" ht="17.5" customHeight="1"/>
    <row r="38" spans="7:9" ht="17.5" customHeight="1"/>
    <row r="39" spans="7:9" ht="17.5" customHeight="1"/>
    <row r="40" spans="7:9" ht="17.5" customHeight="1"/>
    <row r="41" spans="7:9" ht="17.5" customHeight="1"/>
    <row r="42" spans="7:9" ht="17.5" customHeight="1"/>
    <row r="43" spans="7:9" ht="17.5" customHeight="1"/>
    <row r="44" spans="7:9" ht="17.5" customHeight="1"/>
    <row r="45" spans="7:9" ht="17.5" customHeight="1"/>
    <row r="46" spans="7:9" ht="17.5" customHeight="1"/>
    <row r="47" spans="7:9" ht="17.5" customHeight="1"/>
    <row r="48" spans="7:9" ht="17.5" customHeight="1"/>
    <row r="49" ht="17.5" customHeight="1"/>
    <row r="50" ht="17.5" customHeight="1"/>
  </sheetData>
  <sheetProtection password="C746" sheet="1"/>
  <mergeCells count="5">
    <mergeCell ref="Q22:T22"/>
    <mergeCell ref="Q30:Q31"/>
    <mergeCell ref="A2:E2"/>
    <mergeCell ref="A17:E17"/>
    <mergeCell ref="A18:E18"/>
  </mergeCells>
  <conditionalFormatting sqref="D11 D13 D15">
    <cfRule type="cellIs" dxfId="5" priority="1" stopIfTrue="1" operator="notEqual">
      <formula>""</formula>
    </cfRule>
  </conditionalFormatting>
  <printOptions horizontalCentered="1"/>
  <pageMargins left="0.59055118110236227" right="0.47244094488188981" top="0.78740157480314965" bottom="0.78740157480314965" header="0.51181102362204722" footer="0.51181102362204722"/>
  <pageSetup paperSize="9" scale="66" orientation="landscape" r:id="rId1"/>
  <headerFooter alignWithMargins="0">
    <oddHeader>&amp;Rédité le &amp;D à &amp;T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14</vt:i4>
      </vt:variant>
    </vt:vector>
  </HeadingPairs>
  <TitlesOfParts>
    <vt:vector size="29" baseType="lpstr">
      <vt:lpstr>Sécurité</vt:lpstr>
      <vt:lpstr>Sommaire</vt:lpstr>
      <vt:lpstr>EH</vt:lpstr>
      <vt:lpstr>AS</vt:lpstr>
      <vt:lpstr>AR</vt:lpstr>
      <vt:lpstr>LL</vt:lpstr>
      <vt:lpstr>VA</vt:lpstr>
      <vt:lpstr>VU</vt:lpstr>
      <vt:lpstr>NN</vt:lpstr>
      <vt:lpstr>RU</vt:lpstr>
      <vt:lpstr>ZG</vt:lpstr>
      <vt:lpstr>AM</vt:lpstr>
      <vt:lpstr>EP</vt:lpstr>
      <vt:lpstr>KM</vt:lpstr>
      <vt:lpstr>Historiqu</vt:lpstr>
      <vt:lpstr>AM!Zone_d_impression</vt:lpstr>
      <vt:lpstr>AR!Zone_d_impression</vt:lpstr>
      <vt:lpstr>AS!Zone_d_impression</vt:lpstr>
      <vt:lpstr>EH!Zone_d_impression</vt:lpstr>
      <vt:lpstr>EP!Zone_d_impression</vt:lpstr>
      <vt:lpstr>Historiqu!Zone_d_impression</vt:lpstr>
      <vt:lpstr>KM!Zone_d_impression</vt:lpstr>
      <vt:lpstr>LL!Zone_d_impression</vt:lpstr>
      <vt:lpstr>NN!Zone_d_impression</vt:lpstr>
      <vt:lpstr>RU!Zone_d_impression</vt:lpstr>
      <vt:lpstr>Sommaire!Zone_d_impression</vt:lpstr>
      <vt:lpstr>VA!Zone_d_impression</vt:lpstr>
      <vt:lpstr>VU!Zone_d_impression</vt:lpstr>
      <vt:lpstr>ZG!Zone_d_impression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 pavillon</cp:lastModifiedBy>
  <cp:lastPrinted>2023-12-31T10:40:41Z</cp:lastPrinted>
  <dcterms:created xsi:type="dcterms:W3CDTF">2001-09-23T10:09:02Z</dcterms:created>
  <dcterms:modified xsi:type="dcterms:W3CDTF">2024-02-03T15:48:41Z</dcterms:modified>
</cp:coreProperties>
</file>